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heathjohnson/Projects/consulting/presentations/templates/"/>
    </mc:Choice>
  </mc:AlternateContent>
  <xr:revisionPtr revIDLastSave="0" documentId="13_ncr:1_{D81DA444-E512-B04D-B4DB-43B6A32567A5}" xr6:coauthVersionLast="47" xr6:coauthVersionMax="47" xr10:uidLastSave="{00000000-0000-0000-0000-000000000000}"/>
  <bookViews>
    <workbookView xWindow="0" yWindow="600" windowWidth="68800" windowHeight="26900" xr2:uid="{00000000-000D-0000-FFFF-FFFF00000000}"/>
  </bookViews>
  <sheets>
    <sheet name="Start Here" sheetId="1" r:id="rId1"/>
    <sheet name="Partners" sheetId="2" r:id="rId2"/>
    <sheet name="Events" sheetId="3" r:id="rId3"/>
    <sheet name="Dashboar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F32" i="4" s="1"/>
  <c r="D32" i="4"/>
  <c r="C32" i="4"/>
  <c r="B32" i="4"/>
  <c r="E31" i="4"/>
  <c r="F31" i="4" s="1"/>
  <c r="D31" i="4"/>
  <c r="C31" i="4"/>
  <c r="B31" i="4"/>
  <c r="E30" i="4"/>
  <c r="F30" i="4" s="1"/>
  <c r="D30" i="4"/>
  <c r="C30" i="4"/>
  <c r="B30" i="4"/>
  <c r="E29" i="4"/>
  <c r="F29" i="4" s="1"/>
  <c r="D29" i="4"/>
  <c r="C29" i="4"/>
  <c r="B29" i="4"/>
  <c r="B26" i="4"/>
  <c r="B22" i="4"/>
  <c r="B21" i="4"/>
  <c r="B17" i="4"/>
  <c r="B16" i="4"/>
  <c r="B18" i="4" s="1"/>
  <c r="B14" i="4"/>
  <c r="B13" i="4"/>
  <c r="B15" i="4" s="1"/>
  <c r="D15" i="4" s="1"/>
  <c r="B9" i="4"/>
  <c r="B10" i="4" s="1"/>
  <c r="B7" i="4"/>
  <c r="B6" i="4"/>
  <c r="B5" i="4"/>
  <c r="C2" i="4"/>
  <c r="AM9" i="3"/>
  <c r="P9" i="3"/>
  <c r="J9" i="3"/>
  <c r="G9" i="3"/>
  <c r="AM8" i="3"/>
  <c r="P8" i="3"/>
  <c r="J8" i="3"/>
  <c r="G8" i="3"/>
  <c r="AM7" i="3"/>
  <c r="P7" i="3"/>
  <c r="J7" i="3"/>
  <c r="G7" i="3"/>
  <c r="AM6" i="3"/>
  <c r="P6" i="3"/>
  <c r="J6" i="3"/>
  <c r="G6" i="3"/>
  <c r="AM5" i="3"/>
  <c r="P5" i="3"/>
  <c r="J5" i="3"/>
  <c r="G5" i="3"/>
  <c r="AM4" i="3"/>
  <c r="P4" i="3"/>
  <c r="J4" i="3"/>
  <c r="G4" i="3"/>
  <c r="AM3" i="3"/>
  <c r="P3" i="3"/>
  <c r="J3" i="3"/>
  <c r="G3" i="3"/>
  <c r="AM2" i="3"/>
  <c r="P2" i="3"/>
  <c r="J2" i="3"/>
  <c r="G2" i="3"/>
  <c r="T9" i="2"/>
  <c r="R9" i="2"/>
  <c r="K9" i="2"/>
  <c r="J9" i="2"/>
  <c r="H9" i="2"/>
  <c r="T8" i="2"/>
  <c r="R8" i="2"/>
  <c r="K8" i="2"/>
  <c r="J8" i="2"/>
  <c r="H8" i="2"/>
  <c r="T7" i="2"/>
  <c r="R7" i="2"/>
  <c r="K7" i="2"/>
  <c r="J7" i="2"/>
  <c r="H7" i="2"/>
  <c r="T6" i="2"/>
  <c r="R6" i="2"/>
  <c r="K6" i="2"/>
  <c r="J6" i="2"/>
  <c r="H6" i="2"/>
  <c r="T5" i="2"/>
  <c r="R5" i="2"/>
  <c r="K5" i="2"/>
  <c r="J5" i="2"/>
  <c r="H5" i="2"/>
  <c r="T4" i="2"/>
  <c r="R4" i="2"/>
  <c r="K4" i="2"/>
  <c r="J4" i="2"/>
  <c r="H4" i="2"/>
  <c r="T3" i="2"/>
  <c r="R3" i="2"/>
  <c r="K3" i="2"/>
  <c r="J3" i="2"/>
  <c r="H3" i="2"/>
  <c r="T2" i="2"/>
  <c r="R2" i="2"/>
  <c r="B23" i="4" s="1"/>
  <c r="K2" i="2"/>
  <c r="J2" i="2"/>
  <c r="H2" i="2"/>
  <c r="B25" i="4" l="1"/>
  <c r="B8" i="4"/>
  <c r="B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Organization or individual name. Required — every other field is meaningless without this.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Primary person you talk to at this partner. Update if they leave.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Best email for this contact. Used for renewals and check-ins.</t>
        </r>
      </text>
    </comment>
    <comment ref="D1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Pick from dropdown: Sponsor, Donor, In-Kind, Media, Government, Other.</t>
        </r>
      </text>
    </comment>
    <comment ref="E1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Dropdown lifecycle: Prospect → Contacted → Committed → Active → Renewal Due → Renewed (or Lapsed).</t>
        </r>
      </text>
    </comment>
    <comment ref="F1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Annual cash dollar value. Use 0 for in-kind-only partners.</t>
        </r>
      </text>
    </comment>
    <comment ref="G1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Estimated dollar value of non-cash support (printing, ad space, services).</t>
        </r>
      </text>
    </comment>
    <comment ref="H1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Auto-calculated: Commitment + In-Kind. Don't type here.</t>
        </r>
      </text>
    </comment>
    <comment ref="I1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When the partnership began or was last formalized. Drives the renewal clock.</t>
        </r>
      </text>
    </comment>
    <comment ref="J1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Auto-calculated: Start Date + 365 days. Don't type here.</t>
        </r>
      </text>
    </comment>
    <comment ref="K1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>Auto-calculated. Negative numbers mean overdue. Don't type here.</t>
        </r>
      </text>
    </comment>
    <comment ref="L1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Fulfillment ✓ — Thank-you letter or receipt is out.</t>
        </r>
      </text>
    </comment>
    <comment ref="M1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>Fulfillment ✓ — Logo or name added to your materials.</t>
        </r>
      </text>
    </comment>
    <comment ref="N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Fulfillment ✓ — Recognition posted on social.</t>
        </r>
      </text>
    </comment>
    <comment ref="O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Fulfillment ✓ — Comp tickets or access in their hands.</t>
        </r>
      </text>
    </comment>
    <comment ref="P1" authorId="0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Fulfillment ✓ — Mid-year touchpoint complete.</t>
        </r>
      </text>
    </comment>
    <comment ref="Q1" authorId="0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Fulfillment ✓ — Year-end impact summary sent.</t>
        </r>
      </text>
    </comment>
    <comment ref="R1" authorId="0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Auto-calculated from the six checkboxes (L–Q). Don't type here.</t>
        </r>
      </text>
    </comment>
    <comment ref="S1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Date you last reached out. Update every time you talk to them.</t>
        </r>
      </text>
    </comment>
    <comment ref="T1" authorId="0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Auto-calculated. Watch for partners going cold. Don't type here.</t>
        </r>
      </text>
    </comment>
    <comment ref="U1" authorId="0" shapeId="0" xr:uid="{00000000-0006-0000-0100-000015000000}">
      <text>
        <r>
          <rPr>
            <sz val="11"/>
            <color rgb="FF000000"/>
            <rFont val="Calibri"/>
            <family val="2"/>
          </rPr>
          <t>Anything else worth remembering — history, preferences, gotchas.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</author>
  </authors>
  <commentList>
    <comment ref="A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>Short, distinctive name. "Spring Concert: Americana Night" beats "Concert 4".</t>
        </r>
      </text>
    </comment>
    <comment ref="B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>Dropdown: Concert, Exhibit, Workshop, Fundraiser, Education, Community, Meeting, Other.</t>
        </r>
      </text>
    </comment>
    <comment ref="C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>Dropdown lifecycle: Idea → Planning → Confirmed → In Progress → Complete (or Cancelled).</t>
        </r>
      </text>
    </comment>
    <comment ref="D1" authorId="0" shapeId="0" xr:uid="{00000000-0006-0000-0200-000004000000}">
      <text>
        <r>
          <rPr>
            <sz val="11"/>
            <color theme="1"/>
            <rFont val="Calibri"/>
            <family val="2"/>
            <scheme val="minor"/>
          </rPr>
          <t>The one person responsible. Not a committee — one name.</t>
        </r>
      </text>
    </comment>
    <comment ref="E1" authorId="0" shapeId="0" xr:uid="{00000000-0006-0000-0200-000005000000}">
      <text>
        <r>
          <rPr>
            <sz val="11"/>
            <color theme="1"/>
            <rFont val="Calibri"/>
            <family val="2"/>
            <scheme val="minor"/>
          </rPr>
          <t>First day of the event.</t>
        </r>
      </text>
    </comment>
    <comment ref="F1" authorId="0" shapeId="0" xr:uid="{00000000-0006-0000-0200-000006000000}">
      <text>
        <r>
          <rPr>
            <sz val="11"/>
            <color theme="1"/>
            <rFont val="Calibri"/>
            <family val="2"/>
            <scheme val="minor"/>
          </rPr>
          <t>Last day. Same as Start Date for single-day events.</t>
        </r>
      </text>
    </comment>
    <comment ref="G1" authorId="0" shapeId="0" xr:uid="{00000000-0006-0000-0200-000007000000}">
      <text>
        <r>
          <rPr>
            <sz val="11"/>
            <color theme="1"/>
            <rFont val="Calibri"/>
            <family val="2"/>
            <scheme val="minor"/>
          </rPr>
          <t>Auto-calculated. Negative = past. Don't type here.</t>
        </r>
      </text>
    </comment>
    <comment ref="H1" authorId="0" shapeId="0" xr:uid="{00000000-0006-0000-0200-000008000000}">
      <text>
        <r>
          <rPr>
            <sz val="11"/>
            <color theme="1"/>
            <rFont val="Calibri"/>
            <family val="2"/>
            <scheme val="minor"/>
          </rPr>
          <t>What you expect to spend on this event.</t>
        </r>
      </text>
    </comment>
    <comment ref="I1" authorId="0" shapeId="0" xr:uid="{00000000-0006-0000-0200-000009000000}">
      <text>
        <r>
          <rPr>
            <sz val="11"/>
            <color theme="1"/>
            <rFont val="Calibri"/>
            <family val="2"/>
            <scheme val="minor"/>
          </rPr>
          <t>What you've actually spent. Update as expenses come in, not just at the end.</t>
        </r>
      </text>
    </comment>
    <comment ref="J1" authorId="0" shapeId="0" xr:uid="{00000000-0006-0000-0200-00000A000000}">
      <text>
        <r>
          <rPr>
            <sz val="11"/>
            <color theme="1"/>
            <rFont val="Calibri"/>
            <family val="2"/>
            <scheme val="minor"/>
          </rPr>
          <t>Auto-calculated: Planned − Actual. Positive = under, negative = over. Don't type here.</t>
        </r>
      </text>
    </comment>
    <comment ref="K1" authorId="0" shapeId="0" xr:uid="{00000000-0006-0000-0200-00000B000000}">
      <text>
        <r>
          <rPr>
            <sz val="11"/>
            <color theme="1"/>
            <rFont val="Calibri"/>
            <family val="2"/>
            <scheme val="minor"/>
          </rPr>
          <t>Realistic guess at the door.</t>
        </r>
      </text>
    </comment>
    <comment ref="L1" authorId="0" shapeId="0" xr:uid="{00000000-0006-0000-0200-00000C000000}">
      <text>
        <r>
          <rPr>
            <sz val="11"/>
            <color theme="1"/>
            <rFont val="Calibri"/>
            <family val="2"/>
            <scheme val="minor"/>
          </rPr>
          <t>Real number after the event. Drives YTD totals on the Dashboard.</t>
        </r>
      </text>
    </comment>
    <comment ref="M1" authorId="0" shapeId="0" xr:uid="{00000000-0006-0000-0200-00000D000000}">
      <text>
        <r>
          <rPr>
            <sz val="11"/>
            <color theme="1"/>
            <rFont val="Calibri"/>
            <family val="2"/>
            <scheme val="minor"/>
          </rPr>
          <t>Total ticket sales for this event.</t>
        </r>
      </text>
    </comment>
    <comment ref="N1" authorId="0" shapeId="0" xr:uid="{00000000-0006-0000-0200-00000E000000}">
      <text>
        <r>
          <rPr>
            <sz val="11"/>
            <color theme="1"/>
            <rFont val="Calibri"/>
            <family val="2"/>
            <scheme val="minor"/>
          </rPr>
          <t>How many partners/sponsors are attached to this event.</t>
        </r>
      </text>
    </comment>
    <comment ref="O1" authorId="0" shapeId="0" xr:uid="{00000000-0006-0000-0200-00000F000000}">
      <text>
        <r>
          <rPr>
            <sz val="11"/>
            <color theme="1"/>
            <rFont val="Calibri"/>
            <family val="2"/>
            <scheme val="minor"/>
          </rPr>
          <t>Total partner support tied specifically to this event (cash + in-kind).</t>
        </r>
      </text>
    </comment>
    <comment ref="P1" authorId="0" shapeId="0" xr:uid="{00000000-0006-0000-0200-000010000000}">
      <text>
        <r>
          <rPr>
            <sz val="11"/>
            <color theme="1"/>
            <rFont val="Calibri"/>
            <family val="2"/>
            <scheme val="minor"/>
          </rPr>
          <t>Auto-calculated: Ticket + Partner − Actual Spend. Don't type here.</t>
        </r>
      </text>
    </comment>
    <comment ref="Q1" authorId="0" shapeId="0" xr:uid="{00000000-0006-0000-0200-000011000000}">
      <text>
        <r>
          <rPr>
            <sz val="11"/>
            <color theme="1"/>
            <rFont val="Calibri"/>
            <family val="2"/>
            <scheme val="minor"/>
          </rPr>
          <t>Where it's happening.</t>
        </r>
      </text>
    </comment>
    <comment ref="R1" authorId="0" shapeId="0" xr:uid="{00000000-0006-0000-0200-000012000000}">
      <text>
        <r>
          <rPr>
            <sz val="11"/>
            <color theme="1"/>
            <rFont val="Calibri"/>
            <family val="2"/>
            <scheme val="minor"/>
          </rPr>
          <t>Pre-event ✓ — Date and venue both locked.</t>
        </r>
      </text>
    </comment>
    <comment ref="S1" authorId="0" shapeId="0" xr:uid="{00000000-0006-0000-0200-000013000000}">
      <text>
        <r>
          <rPr>
            <sz val="11"/>
            <color theme="1"/>
            <rFont val="Calibri"/>
            <family val="2"/>
            <scheme val="minor"/>
          </rPr>
          <t>Pre-event ✓ — A real budget exists (not a guess).</t>
        </r>
      </text>
    </comment>
    <comment ref="T1" authorId="0" shapeId="0" xr:uid="{00000000-0006-0000-0200-000014000000}">
      <text>
        <r>
          <rPr>
            <sz val="11"/>
            <color theme="1"/>
            <rFont val="Calibri"/>
            <family val="2"/>
            <scheme val="minor"/>
          </rPr>
          <t>Pre-event ✓ — Performer or presenter said yes in writing.</t>
        </r>
      </text>
    </comment>
    <comment ref="U1" authorId="0" shapeId="0" xr:uid="{00000000-0006-0000-0200-000015000000}">
      <text>
        <r>
          <rPr>
            <sz val="11"/>
            <color theme="1"/>
            <rFont val="Calibri"/>
            <family val="2"/>
            <scheme val="minor"/>
          </rPr>
          <t>Pre-event ✓ — Contract or agreement countersigned.</t>
        </r>
      </text>
    </comment>
    <comment ref="V1" authorId="0" shapeId="0" xr:uid="{00000000-0006-0000-0200-000016000000}">
      <text>
        <r>
          <rPr>
            <sz val="11"/>
            <color theme="1"/>
            <rFont val="Calibri"/>
            <family val="2"/>
            <scheme val="minor"/>
          </rPr>
          <t>Pre-event ✓ — You know who's helping fund or support.</t>
        </r>
      </text>
    </comment>
    <comment ref="W1" authorId="0" shapeId="0" xr:uid="{00000000-0006-0000-0200-000017000000}">
      <text>
        <r>
          <rPr>
            <sz val="11"/>
            <color theme="1"/>
            <rFont val="Calibri"/>
            <family val="2"/>
            <scheme val="minor"/>
          </rPr>
          <t>Production ✓ — Posters, web copy, and key visuals done.</t>
        </r>
      </text>
    </comment>
    <comment ref="X1" authorId="0" shapeId="0" xr:uid="{00000000-0006-0000-0200-000018000000}">
      <text>
        <r>
          <rPr>
            <sz val="11"/>
            <color theme="1"/>
            <rFont val="Calibri"/>
            <family val="2"/>
            <scheme val="minor"/>
          </rPr>
          <t>Production ✓ — First social post is live.</t>
        </r>
      </text>
    </comment>
    <comment ref="Y1" authorId="0" shapeId="0" xr:uid="{00000000-0006-0000-0200-000019000000}">
      <text>
        <r>
          <rPr>
            <sz val="11"/>
            <color theme="1"/>
            <rFont val="Calibri"/>
            <family val="2"/>
            <scheme val="minor"/>
          </rPr>
          <t>Production ✓ — Public can buy or register.</t>
        </r>
      </text>
    </comment>
    <comment ref="Z1" authorId="0" shapeId="0" xr:uid="{00000000-0006-0000-0200-00001A000000}">
      <text>
        <r>
          <rPr>
            <sz val="11"/>
            <color theme="1"/>
            <rFont val="Calibri"/>
            <family val="2"/>
            <scheme val="minor"/>
          </rPr>
          <t>Production ✓ — You know who you need (not yet confirmed).</t>
        </r>
      </text>
    </comment>
    <comment ref="AA1" authorId="0" shapeId="0" xr:uid="{00000000-0006-0000-0200-00001B000000}">
      <text>
        <r>
          <rPr>
            <sz val="11"/>
            <color theme="1"/>
            <rFont val="Calibri"/>
            <family val="2"/>
            <scheme val="minor"/>
          </rPr>
          <t>Production ✓ — Sound, lights, and tech arranged.</t>
        </r>
      </text>
    </comment>
    <comment ref="AB1" authorId="0" shapeId="0" xr:uid="{00000000-0006-0000-0200-00001C000000}">
      <text>
        <r>
          <rPr>
            <sz val="11"/>
            <color theme="1"/>
            <rFont val="Calibri"/>
            <family val="2"/>
            <scheme val="minor"/>
          </rPr>
          <t>Production ✓ — Food and hospitality set, or mark N/A.</t>
        </r>
      </text>
    </comment>
    <comment ref="AC1" authorId="0" shapeId="0" xr:uid="{00000000-0006-0000-0200-00001D000000}">
      <text>
        <r>
          <rPr>
            <sz val="11"/>
            <color theme="1"/>
            <rFont val="Calibri"/>
            <family val="2"/>
            <scheme val="minor"/>
          </rPr>
          <t>Event week ✓ — Walked the space with the lead.</t>
        </r>
      </text>
    </comment>
    <comment ref="AD1" authorId="0" shapeId="0" xr:uid="{00000000-0006-0000-0200-00001E000000}">
      <text>
        <r>
          <rPr>
            <sz val="11"/>
            <color theme="1"/>
            <rFont val="Calibri"/>
            <family val="2"/>
            <scheme val="minor"/>
          </rPr>
          <t>Event week ✓ — Volunteers know roles and arrival times.</t>
        </r>
      </text>
    </comment>
    <comment ref="AE1" authorId="0" shapeId="0" xr:uid="{00000000-0006-0000-0200-00001F000000}">
      <text>
        <r>
          <rPr>
            <sz val="11"/>
            <color theme="1"/>
            <rFont val="Calibri"/>
            <family val="2"/>
            <scheme val="minor"/>
          </rPr>
          <t>Event week ✓ — Day-of timeline exists in writing.</t>
        </r>
      </text>
    </comment>
    <comment ref="AF1" authorId="0" shapeId="0" xr:uid="{00000000-0006-0000-0200-000020000000}">
      <text>
        <r>
          <rPr>
            <sz val="11"/>
            <color theme="1"/>
            <rFont val="Calibri"/>
            <family val="2"/>
            <scheme val="minor"/>
          </rPr>
          <t>Event week ✓ — Printed list of who to call if something breaks.</t>
        </r>
      </text>
    </comment>
    <comment ref="AG1" authorId="0" shapeId="0" xr:uid="{00000000-0006-0000-0200-000021000000}">
      <text>
        <r>
          <rPr>
            <sz val="11"/>
            <color theme="1"/>
            <rFont val="Calibri"/>
            <family val="2"/>
            <scheme val="minor"/>
          </rPr>
          <t>Post-event ✓ — Actual headcount entered in column L.</t>
        </r>
      </text>
    </comment>
    <comment ref="AH1" authorId="0" shapeId="0" xr:uid="{00000000-0006-0000-0200-000022000000}">
      <text>
        <r>
          <rPr>
            <sz val="11"/>
            <color theme="1"/>
            <rFont val="Calibri"/>
            <family val="2"/>
            <scheme val="minor"/>
          </rPr>
          <t>Post-event ✓ — Budget Actual and revenue numbers entered.</t>
        </r>
      </text>
    </comment>
    <comment ref="AI1" authorId="0" shapeId="0" xr:uid="{00000000-0006-0000-0200-000023000000}">
      <text>
        <r>
          <rPr>
            <sz val="11"/>
            <color theme="1"/>
            <rFont val="Calibri"/>
            <family val="2"/>
            <scheme val="minor"/>
          </rPr>
          <t>Post-event ✓ — Artists, partners, and volunteers thanked.</t>
        </r>
      </text>
    </comment>
    <comment ref="AJ1" authorId="0" shapeId="0" xr:uid="{00000000-0006-0000-0200-000024000000}">
      <text>
        <r>
          <rPr>
            <sz val="11"/>
            <color theme="1"/>
            <rFont val="Calibri"/>
            <family val="2"/>
            <scheme val="minor"/>
          </rPr>
          <t>Post-event ✓ — Wrap-up social post is live.</t>
        </r>
      </text>
    </comment>
    <comment ref="AK1" authorId="0" shapeId="0" xr:uid="{00000000-0006-0000-0200-000025000000}">
      <text>
        <r>
          <rPr>
            <sz val="11"/>
            <color theme="1"/>
            <rFont val="Calibri"/>
            <family val="2"/>
            <scheme val="minor"/>
          </rPr>
          <t>Post-event ✓ — Team captured what worked and what didn't.</t>
        </r>
      </text>
    </comment>
    <comment ref="AL1" authorId="0" shapeId="0" xr:uid="{00000000-0006-0000-0200-000026000000}">
      <text>
        <r>
          <rPr>
            <sz val="11"/>
            <color theme="1"/>
            <rFont val="Calibri"/>
            <family val="2"/>
            <scheme val="minor"/>
          </rPr>
          <t>Auto-calculated from all 21 checkboxes (R–AK). Don't type here.</t>
        </r>
      </text>
    </comment>
    <comment ref="AM1" authorId="0" shapeId="0" xr:uid="{00000000-0006-0000-0200-000027000000}">
      <text>
        <r>
          <rPr>
            <sz val="11"/>
            <color theme="1"/>
            <rFont val="Calibri"/>
            <family val="2"/>
            <scheme val="minor"/>
          </rPr>
          <t>Lessons learned, vendor issues, recurring patterns, ideas for next time.</t>
        </r>
      </text>
    </comment>
  </commentList>
</comments>
</file>

<file path=xl/sharedStrings.xml><?xml version="1.0" encoding="utf-8"?>
<sst xmlns="http://schemas.openxmlformats.org/spreadsheetml/2006/main" count="216" uniqueCount="197">
  <si>
    <t>ARTS ORG PROGRAMMING TOOLKIT</t>
  </si>
  <si>
    <t>A simple system for tracking your partners, events, and the story they tell together.</t>
  </si>
  <si>
    <t>WHAT'S IN THIS WORKBOOK</t>
  </si>
  <si>
    <t>• Partners tab    — Every sponsor, donor, and in-kind partner. Track commitments, fulfillment, renewals.</t>
  </si>
  <si>
    <t>• Events tab      — Every event you produce. Plan, budget, run a checklist, capture results.</t>
  </si>
  <si>
    <t>• Dashboard tab   — Auto-updating summary that pulls from both tabs. Don't type here — it reads itself.</t>
  </si>
  <si>
    <t>HOW TO USE IT</t>
  </si>
  <si>
    <t>1. Replace the demo data. The 8 partners and 8 events are made-up. Delete them and add your own.</t>
  </si>
  <si>
    <t>2. Hover any column header for a help note. Every header tells you what to type and what's automatic.</t>
  </si>
  <si>
    <t>3. Don't overwrite formula cells. Anything in a gray-shaded column is auto-calculated.</t>
  </si>
  <si>
    <t>4. Use the filter arrows on each column header to focus on what you need.</t>
  </si>
  <si>
    <t>5. Update weekly. The dashboard only tells the truth if the two tabs are kept current.</t>
  </si>
  <si>
    <t>DAY 1 SETUP (15 minutes)</t>
  </si>
  <si>
    <t>1. Open the Partners tab. Delete the 8 demo rows. Add your real partners — start with the most important 3–5.</t>
  </si>
  <si>
    <t>2. Open the Events tab. Delete the 8 demo events. Add what's already on your calendar.</t>
  </si>
  <si>
    <t>3. Set the Status dropdown on every row you added. The dashboard comes alive the moment you do.</t>
  </si>
  <si>
    <t>4. Fill in Last Contact Date on each partner. Be honest — leave blank if you genuinely don't know.</t>
  </si>
  <si>
    <t>5. Open the Dashboard tab. That's your weekly review. Bookmark it or pin the tab.</t>
  </si>
  <si>
    <t>USING THE FILTERS</t>
  </si>
  <si>
    <t>Click the filter arrow ▼ in any column header to narrow down what you see.</t>
  </si>
  <si>
    <t>Common filters worth saving as you work:</t>
  </si>
  <si>
    <t xml:space="preserve">  Partners: Status = Active  |  Days Until Renewal ≤ 60  |  Days Since Contact ≥ 30</t>
  </si>
  <si>
    <t xml:space="preserve">  Events:   Status = Planning or Confirmed  |  Days Until Event ≤ 30  |  Status = Complete</t>
  </si>
  <si>
    <t>A FEW IDEAS BEHIND THIS TOOL</t>
  </si>
  <si>
    <t>• Order is the foundation of freedom. Get the data right and the dashboard does the worrying for you.</t>
  </si>
  <si>
    <t>• Every system is a story. The Partners tab is the relationship arc. The Events tab is the production arc.</t>
  </si>
  <si>
    <t>• Build once, use everywhere. Same structure works for a one-night concert or a year-long campaign.</t>
  </si>
  <si>
    <t>QUESTIONS?</t>
  </si>
  <si>
    <t>Heath Johnson  •  heathjohnson.co  •  built for the SD State Arts Conference, April 2026</t>
  </si>
  <si>
    <t>Partner Name</t>
  </si>
  <si>
    <t>Contact Name</t>
  </si>
  <si>
    <t>Contact Email</t>
  </si>
  <si>
    <t>Partner Type</t>
  </si>
  <si>
    <t>Status</t>
  </si>
  <si>
    <t>Commitment Amount</t>
  </si>
  <si>
    <t>In-Kind Value</t>
  </si>
  <si>
    <t>Total Value</t>
  </si>
  <si>
    <t>Start Date</t>
  </si>
  <si>
    <t>Renewal Date</t>
  </si>
  <si>
    <t>Days Until Renewal</t>
  </si>
  <si>
    <t>Thank-You Sent</t>
  </si>
  <si>
    <t>Logo Added</t>
  </si>
  <si>
    <t>Social Recognition</t>
  </si>
  <si>
    <t>Tickets Delivered</t>
  </si>
  <si>
    <t>Mid-Year Check-In</t>
  </si>
  <si>
    <t>Year-End Summary</t>
  </si>
  <si>
    <t>Fulfillment %</t>
  </si>
  <si>
    <t>Last Contact Date</t>
  </si>
  <si>
    <t>Days Since Contact</t>
  </si>
  <si>
    <t>Notes</t>
  </si>
  <si>
    <t>Riverside Credit Union</t>
  </si>
  <si>
    <t>Jane Miller</t>
  </si>
  <si>
    <t>jane@riversidecu.org</t>
  </si>
  <si>
    <t>Sponsor</t>
  </si>
  <si>
    <t>Active</t>
  </si>
  <si>
    <t>Long-term partner, very engaged</t>
  </si>
  <si>
    <t>Deadwood Trading Post</t>
  </si>
  <si>
    <t>Tom Bridges</t>
  </si>
  <si>
    <t>tom@deadwoodtrading.com</t>
  </si>
  <si>
    <t>In-Kind</t>
  </si>
  <si>
    <t>Provides printing services and signage</t>
  </si>
  <si>
    <t>SD Arts Council</t>
  </si>
  <si>
    <t>Rebecca Stone</t>
  </si>
  <si>
    <t>rstone@artscouncil.sd.gov</t>
  </si>
  <si>
    <t>Government</t>
  </si>
  <si>
    <t>Annual grant — report due Sept</t>
  </si>
  <si>
    <t>First National Bank</t>
  </si>
  <si>
    <t>Chris Walker</t>
  </si>
  <si>
    <t>cwalker@firstnational.com</t>
  </si>
  <si>
    <t>Renewal Due</t>
  </si>
  <si>
    <t>Renewal conversation scheduled</t>
  </si>
  <si>
    <t>Prairie Hills Printing</t>
  </si>
  <si>
    <t>Amy Chen</t>
  </si>
  <si>
    <t>amy@prairiehills.com</t>
  </si>
  <si>
    <t>Prospect</t>
  </si>
  <si>
    <t>Met at chamber mixer, interested in sponsoring programs</t>
  </si>
  <si>
    <t>KEVN Black Hills Fox</t>
  </si>
  <si>
    <t>Dave Rodriguez</t>
  </si>
  <si>
    <t>dave@kevn.com</t>
  </si>
  <si>
    <t>Media</t>
  </si>
  <si>
    <t>PSA airtime + event coverage</t>
  </si>
  <si>
    <t>Hills Dental Group</t>
  </si>
  <si>
    <t>Dr. Sarah Kim</t>
  </si>
  <si>
    <t>skim@hillsdental.com</t>
  </si>
  <si>
    <t>Committed</t>
  </si>
  <si>
    <t>New partner — first year</t>
  </si>
  <si>
    <t>Community Foundation</t>
  </si>
  <si>
    <t>Mark Evans</t>
  </si>
  <si>
    <t>mevans@commfound.org</t>
  </si>
  <si>
    <t>Donor</t>
  </si>
  <si>
    <t>Lapsed</t>
  </si>
  <si>
    <t>Did not renew — staff turnover on their side</t>
  </si>
  <si>
    <t>Event Name</t>
  </si>
  <si>
    <t>Event Type</t>
  </si>
  <si>
    <t>Lead Staff</t>
  </si>
  <si>
    <t>End Date</t>
  </si>
  <si>
    <t>Days Until Event</t>
  </si>
  <si>
    <t>Budget Planned</t>
  </si>
  <si>
    <t>Budget Actual</t>
  </si>
  <si>
    <t>Budget Variance</t>
  </si>
  <si>
    <t>Expected Attendance</t>
  </si>
  <si>
    <t>Actual Attendance</t>
  </si>
  <si>
    <t>Ticket Revenue</t>
  </si>
  <si>
    <t>Partner Count</t>
  </si>
  <si>
    <t>Partner Revenue</t>
  </si>
  <si>
    <t>Net Revenue</t>
  </si>
  <si>
    <t>Venue</t>
  </si>
  <si>
    <t>Date/Venue Confirmed</t>
  </si>
  <si>
    <t>Budget Drafted</t>
  </si>
  <si>
    <t>Artist Confirmed</t>
  </si>
  <si>
    <t>Contract Signed</t>
  </si>
  <si>
    <t>Partners Identified</t>
  </si>
  <si>
    <t>Marketing Created</t>
  </si>
  <si>
    <t>Social Promo Started</t>
  </si>
  <si>
    <t>Tickets Live</t>
  </si>
  <si>
    <t>Volunteers Identified</t>
  </si>
  <si>
    <t>AV Confirmed</t>
  </si>
  <si>
    <t>Catering Arranged</t>
  </si>
  <si>
    <t>Venue Walkthrough</t>
  </si>
  <si>
    <t>Volunteers Briefed</t>
  </si>
  <si>
    <t>Run Sheet Created</t>
  </si>
  <si>
    <t>Emergency Contacts</t>
  </si>
  <si>
    <t>Attendance Recorded</t>
  </si>
  <si>
    <t>Actuals Entered</t>
  </si>
  <si>
    <t>Thank-Yous Sent</t>
  </si>
  <si>
    <t>Post-Event Social</t>
  </si>
  <si>
    <t>Debrief Done</t>
  </si>
  <si>
    <t>Task Completion %</t>
  </si>
  <si>
    <t>Spring Concert: Americana Night</t>
  </si>
  <si>
    <t>Concert</t>
  </si>
  <si>
    <t>Confirmed</t>
  </si>
  <si>
    <t>Sarah</t>
  </si>
  <si>
    <t>Main Stage</t>
  </si>
  <si>
    <t>Youth Art Workshop: Printmaking</t>
  </si>
  <si>
    <t>Workshop</t>
  </si>
  <si>
    <t>Planning</t>
  </si>
  <si>
    <t>Maria</t>
  </si>
  <si>
    <t>Studio B</t>
  </si>
  <si>
    <t>Annual Gala &amp; Fundraiser</t>
  </si>
  <si>
    <t>Fundraiser</t>
  </si>
  <si>
    <t>In Progress</t>
  </si>
  <si>
    <t>Heath</t>
  </si>
  <si>
    <t>Grand Ballroom</t>
  </si>
  <si>
    <t>Pop-Up Gallery: Local Photographers</t>
  </si>
  <si>
    <t>Exhibit</t>
  </si>
  <si>
    <t>Idea</t>
  </si>
  <si>
    <t>Tia</t>
  </si>
  <si>
    <t>TBD — downtown partner venue</t>
  </si>
  <si>
    <t>Summer Music Festival</t>
  </si>
  <si>
    <t>Riverside Park</t>
  </si>
  <si>
    <t>Board Retreat &amp; Strategy</t>
  </si>
  <si>
    <t>Meeting</t>
  </si>
  <si>
    <t>Complete</t>
  </si>
  <si>
    <t>Conference Room A</t>
  </si>
  <si>
    <t>Kids Summer Camp: Theater</t>
  </si>
  <si>
    <t>Education</t>
  </si>
  <si>
    <t>Main Stage + Studio B</t>
  </si>
  <si>
    <t>Holiday Craft Market</t>
  </si>
  <si>
    <t>Community</t>
  </si>
  <si>
    <t>Main Stage + Lobby</t>
  </si>
  <si>
    <t>Annual Dashboard</t>
  </si>
  <si>
    <t>PROGRAMMING AT A GLANCE</t>
  </si>
  <si>
    <t>Total Events</t>
  </si>
  <si>
    <t>Events Complete</t>
  </si>
  <si>
    <t>Events In Progress</t>
  </si>
  <si>
    <t>Upcoming (Next 30 Days)</t>
  </si>
  <si>
    <t>Total Attendance (YTD)</t>
  </si>
  <si>
    <t>Avg Attendance / Event</t>
  </si>
  <si>
    <t>FINANCIAL SUMMARY</t>
  </si>
  <si>
    <t>Total Budget Planned</t>
  </si>
  <si>
    <t>Total Budget Actual</t>
  </si>
  <si>
    <t>Total Ticket Revenue</t>
  </si>
  <si>
    <t>Total Partner Revenue</t>
  </si>
  <si>
    <t>Net Revenue (YTD)</t>
  </si>
  <si>
    <t>PARTNER HEALTH</t>
  </si>
  <si>
    <t>Total Active Partners</t>
  </si>
  <si>
    <t>Total Committed Value</t>
  </si>
  <si>
    <t>Avg Fulfillment %</t>
  </si>
  <si>
    <t>Renewals Due (60 Days)</t>
  </si>
  <si>
    <t>Overdue Renewals</t>
  </si>
  <si>
    <t>Lapsed Partners</t>
  </si>
  <si>
    <t>QUARTERLY BREAKDOWN</t>
  </si>
  <si>
    <t>Events</t>
  </si>
  <si>
    <t>Attendance</t>
  </si>
  <si>
    <t>Budget</t>
  </si>
  <si>
    <t>Revenue</t>
  </si>
  <si>
    <t>Net</t>
  </si>
  <si>
    <t>Q1 (Jan-Mar)</t>
  </si>
  <si>
    <t>Q2 (Apr-Jun)</t>
  </si>
  <si>
    <t>Q3 (Jul-Sep)</t>
  </si>
  <si>
    <t>Q4 (Oct-Dec)</t>
  </si>
  <si>
    <t>NEEDS ATTENTION</t>
  </si>
  <si>
    <t>(Items auto-highlighted in Partners and Events tabs via conditional formatting)</t>
  </si>
  <si>
    <t>HOW TO USE THIS TOOLKIT</t>
  </si>
  <si>
    <t>1. Make a copy of this spreadsheet (File &gt; Make a Copy)</t>
  </si>
  <si>
    <t>2. Replace the demo data in the Partners and Events tabs with your own</t>
  </si>
  <si>
    <t>3. The Dashboard updates automatically — no manual entry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</si>
</sst>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"/>
    <numFmt numFmtId="165" formatCode="yyyy\-mm\-dd"/>
    <numFmt numFmtId="166" formatCode="[=0]&quot;☑&quot;;[=0]&quot;☐&quot;"/>
    <numFmt numFmtId="167" formatCode="0&quot;%&quot;"/>
    <numFmt numFmtId="168" formatCode="&quot;$&quot;#,##0;[Red]\-&quot;$&quot;#,##0"/>
  </numFmts>
  <fonts count="9" x14ac:knownFonts="1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i/>
      <sz val="11"/>
      <name val="Calibri"/>
    </font>
    <font>
      <b/>
      <sz val="12"/>
      <name val="Calibri"/>
    </font>
    <font>
      <b/>
      <sz val="11"/>
      <color rgb="FFFFFFFF"/>
      <name val="Calibri"/>
    </font>
    <font>
      <b/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9384D"/>
      </patternFill>
    </fill>
    <fill>
      <patternFill patternType="solid">
        <fgColor rgb="FFE6EDF5"/>
      </patternFill>
    </fill>
    <fill>
      <patternFill patternType="solid">
        <fgColor rgb="FFF0F0F0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2" borderId="0" xfId="0" applyFont="1" applyFill="1" applyAlignment="1">
      <alignment horizontal="left" vertical="center" wrapText="1"/>
    </xf>
    <xf numFmtId="164" fontId="0" fillId="0" borderId="0" xfId="0" applyNumberFormat="1"/>
    <xf numFmtId="165" fontId="0" fillId="0" borderId="0" xfId="0" applyNumberFormat="1"/>
    <xf numFmtId="165" fontId="0" fillId="4" borderId="0" xfId="0" applyNumberFormat="1" applyFill="1"/>
    <xf numFmtId="1" fontId="0" fillId="4" borderId="0" xfId="0" applyNumberFormat="1" applyFill="1"/>
    <xf numFmtId="166" fontId="0" fillId="0" borderId="0" xfId="0" applyNumberFormat="1" applyAlignment="1">
      <alignment horizontal="center"/>
    </xf>
    <xf numFmtId="167" fontId="0" fillId="4" borderId="0" xfId="0" applyNumberFormat="1" applyFill="1"/>
    <xf numFmtId="168" fontId="0" fillId="4" borderId="0" xfId="0" applyNumberFormat="1" applyFill="1"/>
    <xf numFmtId="3" fontId="0" fillId="0" borderId="0" xfId="0" applyNumberFormat="1"/>
    <xf numFmtId="1" fontId="0" fillId="0" borderId="0" xfId="0" applyNumberFormat="1"/>
    <xf numFmtId="0" fontId="0" fillId="3" borderId="0" xfId="0" applyFill="1"/>
    <xf numFmtId="3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168" fontId="5" fillId="0" borderId="0" xfId="0" applyNumberFormat="1" applyFont="1" applyAlignment="1">
      <alignment horizontal="left"/>
    </xf>
    <xf numFmtId="167" fontId="5" fillId="0" borderId="0" xfId="0" applyNumberFormat="1" applyFont="1" applyAlignment="1">
      <alignment horizontal="left"/>
    </xf>
    <xf numFmtId="0" fontId="1" fillId="2" borderId="0" xfId="0" applyFont="1" applyFill="1" applyAlignment="1">
      <alignment vertical="center" indent="1"/>
    </xf>
    <xf numFmtId="0" fontId="0" fillId="0" borderId="0" xfId="0"/>
    <xf numFmtId="0" fontId="4" fillId="2" borderId="1" xfId="0" applyFont="1" applyFill="1" applyBorder="1" applyAlignment="1">
      <alignment horizontal="left" vertical="center" wrapText="1"/>
    </xf>
    <xf numFmtId="164" fontId="0" fillId="4" borderId="2" xfId="0" applyNumberFormat="1" applyFill="1" applyBorder="1"/>
    <xf numFmtId="1" fontId="0" fillId="4" borderId="2" xfId="0" applyNumberFormat="1" applyFill="1" applyBorder="1"/>
    <xf numFmtId="167" fontId="0" fillId="4" borderId="2" xfId="0" applyNumberFormat="1" applyFill="1" applyBorder="1"/>
    <xf numFmtId="0" fontId="8" fillId="0" borderId="0" xfId="0" applyFont="1"/>
    <xf numFmtId="0" fontId="8" fillId="5" borderId="0" xfId="0" applyFont="1" applyFill="1"/>
    <xf numFmtId="0" fontId="0" fillId="0" borderId="0" xfId="0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Border="1"/>
    <xf numFmtId="0" fontId="1" fillId="2" borderId="0" xfId="0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ill>
        <patternFill patternType="solid">
          <fgColor rgb="FFFFF5CC"/>
        </patternFill>
      </fill>
    </dxf>
    <dxf>
      <fill>
        <patternFill patternType="solid">
          <fgColor rgb="FFFFDEDE"/>
        </patternFill>
      </fill>
    </dxf>
    <dxf>
      <fill>
        <patternFill patternType="solid">
          <fgColor rgb="FFDDDDDD"/>
        </patternFill>
      </fill>
    </dxf>
    <dxf>
      <fill>
        <patternFill patternType="solid">
          <fgColor rgb="FFDDDDDD"/>
        </patternFill>
      </fill>
    </dxf>
    <dxf>
      <fill>
        <patternFill patternType="solid">
          <fgColor rgb="FFFFF5CC"/>
        </patternFill>
      </fill>
    </dxf>
    <dxf>
      <fill>
        <patternFill patternType="solid">
          <fgColor rgb="FFD9F0D9"/>
        </patternFill>
      </fill>
    </dxf>
    <dxf>
      <fill>
        <patternFill patternType="solid">
          <fgColor rgb="FFFFF5CC"/>
        </patternFill>
      </fill>
    </dxf>
    <dxf>
      <fill>
        <patternFill patternType="solid">
          <fgColor rgb="FFFFDEDE"/>
        </patternFill>
      </fill>
    </dxf>
    <dxf>
      <fill>
        <patternFill patternType="solid">
          <fgColor rgb="FFFFF5CC"/>
        </patternFill>
      </fill>
    </dxf>
    <dxf>
      <fill>
        <patternFill patternType="solid">
          <fgColor rgb="FFFFDEDE"/>
        </patternFill>
      </fill>
    </dxf>
    <dxf>
      <fill>
        <patternFill patternType="solid">
          <fgColor rgb="FFFFDEDE"/>
        </patternFill>
      </fill>
    </dxf>
    <dxf>
      <fill>
        <patternFill patternType="solid">
          <fgColor rgb="FFFFF5CC"/>
        </patternFill>
      </fill>
    </dxf>
    <dxf>
      <fill>
        <patternFill patternType="solid">
          <fgColor rgb="FFD9F0D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artnersTable" displayName="PartnersTable" ref="A1:U9">
  <autoFilter ref="A1:U9" xr:uid="{00000000-0009-0000-0100-000001000000}"/>
  <tableColumns count="21">
    <tableColumn id="1" xr3:uid="{00000000-0010-0000-0000-000001000000}" name="Partner Name"/>
    <tableColumn id="2" xr3:uid="{00000000-0010-0000-0000-000002000000}" name="Contact Name"/>
    <tableColumn id="3" xr3:uid="{00000000-0010-0000-0000-000003000000}" name="Contact Email"/>
    <tableColumn id="4" xr3:uid="{00000000-0010-0000-0000-000004000000}" name="Partner Type"/>
    <tableColumn id="5" xr3:uid="{00000000-0010-0000-0000-000005000000}" name="Status"/>
    <tableColumn id="6" xr3:uid="{00000000-0010-0000-0000-000006000000}" name="Commitment Amount"/>
    <tableColumn id="7" xr3:uid="{00000000-0010-0000-0000-000007000000}" name="In-Kind Value"/>
    <tableColumn id="8" xr3:uid="{00000000-0010-0000-0000-000008000000}" name="Total Value" dataDxfId="4"/>
    <tableColumn id="9" xr3:uid="{00000000-0010-0000-0000-000009000000}" name="Start Date"/>
    <tableColumn id="10" xr3:uid="{00000000-0010-0000-0000-00000A000000}" name="Renewal Date"/>
    <tableColumn id="11" xr3:uid="{00000000-0010-0000-0000-00000B000000}" name="Days Until Renewal" dataDxfId="3"/>
    <tableColumn id="12" xr3:uid="{00000000-0010-0000-0000-00000C000000}" name="Thank-You Sent"/>
    <tableColumn id="13" xr3:uid="{00000000-0010-0000-0000-00000D000000}" name="Logo Added"/>
    <tableColumn id="14" xr3:uid="{00000000-0010-0000-0000-00000E000000}" name="Social Recognition"/>
    <tableColumn id="15" xr3:uid="{00000000-0010-0000-0000-00000F000000}" name="Tickets Delivered"/>
    <tableColumn id="16" xr3:uid="{00000000-0010-0000-0000-000010000000}" name="Mid-Year Check-In"/>
    <tableColumn id="17" xr3:uid="{00000000-0010-0000-0000-000011000000}" name="Year-End Summary"/>
    <tableColumn id="18" xr3:uid="{00000000-0010-0000-0000-000012000000}" name="Fulfillment %" dataDxfId="2"/>
    <tableColumn id="19" xr3:uid="{00000000-0010-0000-0000-000013000000}" name="Last Contact Date"/>
    <tableColumn id="20" xr3:uid="{00000000-0010-0000-0000-000014000000}" name="Days Since Contact" dataDxfId="1"/>
    <tableColumn id="21" xr3:uid="{00000000-0010-0000-0000-000015000000}" name="Notes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EventsTable" displayName="EventsTable" ref="A1:AM9">
  <autoFilter ref="A1:AM9" xr:uid="{00000000-0009-0000-0100-000002000000}"/>
  <tableColumns count="39">
    <tableColumn id="1" xr3:uid="{00000000-0010-0000-0100-000001000000}" name="Event Name"/>
    <tableColumn id="2" xr3:uid="{00000000-0010-0000-0100-000002000000}" name="Event Type"/>
    <tableColumn id="3" xr3:uid="{00000000-0010-0000-0100-000003000000}" name="Status"/>
    <tableColumn id="4" xr3:uid="{00000000-0010-0000-0100-000004000000}" name="Lead Staff"/>
    <tableColumn id="5" xr3:uid="{00000000-0010-0000-0100-000005000000}" name="Start Date"/>
    <tableColumn id="6" xr3:uid="{00000000-0010-0000-0100-000006000000}" name="End Date"/>
    <tableColumn id="7" xr3:uid="{00000000-0010-0000-0100-000007000000}" name="Days Until Event"/>
    <tableColumn id="8" xr3:uid="{00000000-0010-0000-0100-000008000000}" name="Budget Planned"/>
    <tableColumn id="9" xr3:uid="{00000000-0010-0000-0100-000009000000}" name="Budget Actual"/>
    <tableColumn id="10" xr3:uid="{00000000-0010-0000-0100-00000A000000}" name="Budget Variance"/>
    <tableColumn id="11" xr3:uid="{00000000-0010-0000-0100-00000B000000}" name="Expected Attendance"/>
    <tableColumn id="12" xr3:uid="{00000000-0010-0000-0100-00000C000000}" name="Actual Attendance"/>
    <tableColumn id="13" xr3:uid="{00000000-0010-0000-0100-00000D000000}" name="Ticket Revenue"/>
    <tableColumn id="14" xr3:uid="{00000000-0010-0000-0100-00000E000000}" name="Partner Count"/>
    <tableColumn id="15" xr3:uid="{00000000-0010-0000-0100-00000F000000}" name="Partner Revenue"/>
    <tableColumn id="16" xr3:uid="{00000000-0010-0000-0100-000010000000}" name="Net Revenue"/>
    <tableColumn id="17" xr3:uid="{00000000-0010-0000-0100-000011000000}" name="Venue"/>
    <tableColumn id="18" xr3:uid="{00000000-0010-0000-0100-000012000000}" name="Date/Venue Confirmed"/>
    <tableColumn id="19" xr3:uid="{00000000-0010-0000-0100-000013000000}" name="Budget Drafted"/>
    <tableColumn id="20" xr3:uid="{00000000-0010-0000-0100-000014000000}" name="Artist Confirmed"/>
    <tableColumn id="21" xr3:uid="{00000000-0010-0000-0100-000015000000}" name="Contract Signed"/>
    <tableColumn id="22" xr3:uid="{00000000-0010-0000-0100-000016000000}" name="Partners Identified"/>
    <tableColumn id="23" xr3:uid="{00000000-0010-0000-0100-000017000000}" name="Marketing Created"/>
    <tableColumn id="24" xr3:uid="{00000000-0010-0000-0100-000018000000}" name="Social Promo Started"/>
    <tableColumn id="25" xr3:uid="{00000000-0010-0000-0100-000019000000}" name="Tickets Live"/>
    <tableColumn id="26" xr3:uid="{00000000-0010-0000-0100-00001A000000}" name="Volunteers Identified"/>
    <tableColumn id="27" xr3:uid="{00000000-0010-0000-0100-00001B000000}" name="AV Confirmed"/>
    <tableColumn id="28" xr3:uid="{00000000-0010-0000-0100-00001C000000}" name="Catering Arranged"/>
    <tableColumn id="29" xr3:uid="{00000000-0010-0000-0100-00001D000000}" name="Venue Walkthrough"/>
    <tableColumn id="30" xr3:uid="{00000000-0010-0000-0100-00001E000000}" name="Volunteers Briefed"/>
    <tableColumn id="31" xr3:uid="{00000000-0010-0000-0100-00001F000000}" name="Run Sheet Created"/>
    <tableColumn id="32" xr3:uid="{00000000-0010-0000-0100-000020000000}" name="Emergency Contacts"/>
    <tableColumn id="33" xr3:uid="{00000000-0010-0000-0100-000021000000}" name="Attendance Recorded"/>
    <tableColumn id="34" xr3:uid="{00000000-0010-0000-0100-000022000000}" name="Actuals Entered"/>
    <tableColumn id="35" xr3:uid="{00000000-0010-0000-0100-000023000000}" name="Thank-Yous Sent"/>
    <tableColumn id="36" xr3:uid="{00000000-0010-0000-0100-000024000000}" name="Post-Event Social"/>
    <tableColumn id="37" xr3:uid="{00000000-0010-0000-0100-000025000000}" name="Debrief Done"/>
    <tableColumn id="38" xr3:uid="{00000000-0010-0000-0100-000026000000}" name="Task Completion %"/>
    <tableColumn id="39" xr3:uid="{00000000-0010-0000-0100-000027000000}" name="Notes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showGridLines="0" tabSelected="1" workbookViewId="0">
      <selection activeCell="J44" sqref="J44"/>
    </sheetView>
  </sheetViews>
  <sheetFormatPr baseColWidth="10" defaultColWidth="8.83203125" defaultRowHeight="15" x14ac:dyDescent="0.2"/>
  <cols>
    <col min="1" max="1" width="110" customWidth="1"/>
    <col min="2" max="6" width="13" hidden="1" customWidth="1"/>
  </cols>
  <sheetData>
    <row r="1" spans="1:6" ht="36" customHeight="1" x14ac:dyDescent="0.2">
      <c r="A1" s="19" t="s">
        <v>0</v>
      </c>
      <c r="B1" s="20"/>
      <c r="C1" s="20"/>
      <c r="D1" s="20"/>
      <c r="E1" s="20"/>
      <c r="F1" s="20"/>
    </row>
    <row r="2" spans="1:6" x14ac:dyDescent="0.2">
      <c r="A2" s="1" t="s">
        <v>1</v>
      </c>
    </row>
    <row r="4" spans="1:6" ht="16" x14ac:dyDescent="0.2">
      <c r="A4" s="2" t="s">
        <v>2</v>
      </c>
    </row>
    <row r="5" spans="1:6" x14ac:dyDescent="0.2">
      <c r="A5" t="s">
        <v>3</v>
      </c>
    </row>
    <row r="6" spans="1:6" x14ac:dyDescent="0.2">
      <c r="A6" t="s">
        <v>4</v>
      </c>
    </row>
    <row r="7" spans="1:6" x14ac:dyDescent="0.2">
      <c r="A7" t="s">
        <v>5</v>
      </c>
    </row>
    <row r="9" spans="1:6" ht="16" x14ac:dyDescent="0.2">
      <c r="A9" s="2" t="s">
        <v>6</v>
      </c>
    </row>
    <row r="10" spans="1:6" x14ac:dyDescent="0.2">
      <c r="A10" t="s">
        <v>7</v>
      </c>
    </row>
    <row r="11" spans="1:6" x14ac:dyDescent="0.2">
      <c r="A11" t="s">
        <v>8</v>
      </c>
    </row>
    <row r="12" spans="1:6" x14ac:dyDescent="0.2">
      <c r="A12" t="s">
        <v>9</v>
      </c>
    </row>
    <row r="13" spans="1:6" x14ac:dyDescent="0.2">
      <c r="A13" t="s">
        <v>10</v>
      </c>
    </row>
    <row r="14" spans="1:6" x14ac:dyDescent="0.2">
      <c r="A14" t="s">
        <v>11</v>
      </c>
    </row>
    <row r="16" spans="1:6" ht="16" x14ac:dyDescent="0.2">
      <c r="A16" s="2" t="s">
        <v>12</v>
      </c>
    </row>
    <row r="17" spans="1:1" x14ac:dyDescent="0.2">
      <c r="A17" t="s">
        <v>13</v>
      </c>
    </row>
    <row r="18" spans="1:1" x14ac:dyDescent="0.2">
      <c r="A18" t="s">
        <v>14</v>
      </c>
    </row>
    <row r="19" spans="1:1" x14ac:dyDescent="0.2">
      <c r="A19" t="s">
        <v>15</v>
      </c>
    </row>
    <row r="20" spans="1:1" x14ac:dyDescent="0.2">
      <c r="A20" t="s">
        <v>16</v>
      </c>
    </row>
    <row r="21" spans="1:1" x14ac:dyDescent="0.2">
      <c r="A21" t="s">
        <v>17</v>
      </c>
    </row>
    <row r="23" spans="1:1" ht="16" x14ac:dyDescent="0.2">
      <c r="A23" s="2" t="s">
        <v>18</v>
      </c>
    </row>
    <row r="24" spans="1:1" x14ac:dyDescent="0.2">
      <c r="A24" t="s">
        <v>19</v>
      </c>
    </row>
    <row r="25" spans="1:1" x14ac:dyDescent="0.2">
      <c r="A25" t="s">
        <v>20</v>
      </c>
    </row>
    <row r="26" spans="1:1" x14ac:dyDescent="0.2">
      <c r="A26" t="s">
        <v>21</v>
      </c>
    </row>
    <row r="27" spans="1:1" x14ac:dyDescent="0.2">
      <c r="A27" t="s">
        <v>22</v>
      </c>
    </row>
    <row r="29" spans="1:1" ht="16" x14ac:dyDescent="0.2">
      <c r="A29" s="2" t="s">
        <v>23</v>
      </c>
    </row>
    <row r="30" spans="1:1" x14ac:dyDescent="0.2">
      <c r="A30" t="s">
        <v>24</v>
      </c>
    </row>
    <row r="31" spans="1:1" x14ac:dyDescent="0.2">
      <c r="A31" t="s">
        <v>25</v>
      </c>
    </row>
    <row r="32" spans="1:1" x14ac:dyDescent="0.2">
      <c r="A32" t="s">
        <v>26</v>
      </c>
    </row>
    <row r="34" spans="1:1" ht="16" x14ac:dyDescent="0.2">
      <c r="A34" s="2" t="s">
        <v>27</v>
      </c>
    </row>
    <row r="35" spans="1:1" x14ac:dyDescent="0.2">
      <c r="A35" t="s">
        <v>28</v>
      </c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"/>
  <sheetViews>
    <sheetView workbookViewId="0">
      <pane xSplit="1" ySplit="1" topLeftCell="B2" activePane="bottomRight" state="frozen"/>
      <selection pane="topRight"/>
      <selection pane="bottomLeft"/>
      <selection pane="bottomRight" activeCell="AA27" sqref="AA27"/>
    </sheetView>
  </sheetViews>
  <sheetFormatPr baseColWidth="10" defaultColWidth="8.83203125" defaultRowHeight="15" x14ac:dyDescent="0.2"/>
  <cols>
    <col min="1" max="1" width="26" customWidth="1"/>
    <col min="2" max="2" width="18" customWidth="1"/>
    <col min="3" max="3" width="26" customWidth="1"/>
    <col min="4" max="6" width="14" customWidth="1"/>
    <col min="7" max="9" width="12" style="29" customWidth="1"/>
    <col min="10" max="10" width="14" style="29" customWidth="1"/>
    <col min="11" max="11" width="12" style="29" customWidth="1"/>
    <col min="12" max="17" width="8" style="29" customWidth="1"/>
    <col min="18" max="18" width="12" style="29" customWidth="1"/>
    <col min="19" max="19" width="14" style="29" customWidth="1"/>
    <col min="20" max="20" width="12" style="29" customWidth="1"/>
    <col min="21" max="21" width="45.1640625" style="29" bestFit="1" customWidth="1"/>
  </cols>
  <sheetData>
    <row r="1" spans="1:21" ht="30" customHeight="1" x14ac:dyDescent="0.2">
      <c r="A1" s="3" t="s">
        <v>29</v>
      </c>
      <c r="B1" s="3" t="s">
        <v>30</v>
      </c>
      <c r="C1" s="3" t="s">
        <v>31</v>
      </c>
      <c r="D1" s="3" t="s">
        <v>32</v>
      </c>
      <c r="E1" s="3" t="s">
        <v>33</v>
      </c>
      <c r="F1" s="3" t="s">
        <v>34</v>
      </c>
      <c r="G1" s="3" t="s">
        <v>35</v>
      </c>
      <c r="H1" s="21" t="s">
        <v>36</v>
      </c>
      <c r="I1" s="3" t="s">
        <v>37</v>
      </c>
      <c r="J1" s="3" t="s">
        <v>38</v>
      </c>
      <c r="K1" s="21" t="s">
        <v>39</v>
      </c>
      <c r="L1" s="3" t="s">
        <v>40</v>
      </c>
      <c r="M1" s="3" t="s">
        <v>41</v>
      </c>
      <c r="N1" s="3" t="s">
        <v>42</v>
      </c>
      <c r="O1" s="3" t="s">
        <v>43</v>
      </c>
      <c r="P1" s="3" t="s">
        <v>44</v>
      </c>
      <c r="Q1" s="3" t="s">
        <v>45</v>
      </c>
      <c r="R1" s="21" t="s">
        <v>46</v>
      </c>
      <c r="S1" s="3" t="s">
        <v>47</v>
      </c>
      <c r="T1" s="21" t="s">
        <v>48</v>
      </c>
      <c r="U1" s="3" t="s">
        <v>49</v>
      </c>
    </row>
    <row r="2" spans="1:21" x14ac:dyDescent="0.2">
      <c r="A2" t="s">
        <v>50</v>
      </c>
      <c r="B2" t="s">
        <v>51</v>
      </c>
      <c r="C2" t="s">
        <v>52</v>
      </c>
      <c r="D2" t="s">
        <v>53</v>
      </c>
      <c r="E2" t="s">
        <v>54</v>
      </c>
      <c r="F2" s="4">
        <v>5000</v>
      </c>
      <c r="G2" s="4">
        <v>0</v>
      </c>
      <c r="H2" s="22">
        <f t="shared" ref="H2:H9" si="0">F2+G2</f>
        <v>5000</v>
      </c>
      <c r="I2" s="5">
        <v>45839</v>
      </c>
      <c r="J2" s="6">
        <f t="shared" ref="J2:J9" si="1">IF(I2="","",DATE(YEAR(I2)+1,MONTH(I2),DAY(I2)))</f>
        <v>46204</v>
      </c>
      <c r="K2" s="23">
        <f t="shared" ref="K2:K9" ca="1" si="2">IF(J2="","",J2-TODAY())</f>
        <v>69</v>
      </c>
      <c r="L2" s="8" t="b">
        <v>1</v>
      </c>
      <c r="M2" s="8" t="b">
        <v>1</v>
      </c>
      <c r="N2" s="8" t="b">
        <v>1</v>
      </c>
      <c r="O2" s="8" t="b">
        <v>1</v>
      </c>
      <c r="P2" s="8" t="b">
        <v>1</v>
      </c>
      <c r="Q2" s="8" t="b">
        <v>0</v>
      </c>
      <c r="R2" s="24">
        <f t="shared" ref="R2:R9" si="3">ROUND(COUNTIF(L2:Q2,TRUE)/6*100,0)</f>
        <v>83</v>
      </c>
      <c r="S2" s="5">
        <v>46068</v>
      </c>
      <c r="T2" s="23">
        <f t="shared" ref="T2:T9" ca="1" si="4">IF(S2="","",TODAY()-S2)</f>
        <v>67</v>
      </c>
      <c r="U2" t="s">
        <v>55</v>
      </c>
    </row>
    <row r="3" spans="1:21" x14ac:dyDescent="0.2">
      <c r="A3" t="s">
        <v>56</v>
      </c>
      <c r="B3" t="s">
        <v>57</v>
      </c>
      <c r="C3" t="s">
        <v>58</v>
      </c>
      <c r="D3" t="s">
        <v>59</v>
      </c>
      <c r="E3" t="s">
        <v>54</v>
      </c>
      <c r="F3" s="4">
        <v>0</v>
      </c>
      <c r="G3" s="4">
        <v>2500</v>
      </c>
      <c r="H3" s="22">
        <f t="shared" si="0"/>
        <v>2500</v>
      </c>
      <c r="I3" s="5">
        <v>45915</v>
      </c>
      <c r="J3" s="6">
        <f t="shared" si="1"/>
        <v>46280</v>
      </c>
      <c r="K3" s="23">
        <f t="shared" ca="1" si="2"/>
        <v>145</v>
      </c>
      <c r="L3" s="8" t="b">
        <v>1</v>
      </c>
      <c r="M3" s="8" t="b">
        <v>1</v>
      </c>
      <c r="N3" s="8" t="b">
        <v>0</v>
      </c>
      <c r="O3" s="8" t="b">
        <v>1</v>
      </c>
      <c r="P3" s="8" t="b">
        <v>0</v>
      </c>
      <c r="Q3" s="8" t="b">
        <v>0</v>
      </c>
      <c r="R3" s="24">
        <f t="shared" si="3"/>
        <v>50</v>
      </c>
      <c r="S3" s="5">
        <v>46042</v>
      </c>
      <c r="T3" s="23">
        <f t="shared" ca="1" si="4"/>
        <v>93</v>
      </c>
      <c r="U3" t="s">
        <v>60</v>
      </c>
    </row>
    <row r="4" spans="1:21" x14ac:dyDescent="0.2">
      <c r="A4" t="s">
        <v>61</v>
      </c>
      <c r="B4" t="s">
        <v>62</v>
      </c>
      <c r="C4" t="s">
        <v>63</v>
      </c>
      <c r="D4" t="s">
        <v>64</v>
      </c>
      <c r="E4" t="s">
        <v>54</v>
      </c>
      <c r="F4" s="4">
        <v>8000</v>
      </c>
      <c r="G4" s="4">
        <v>0</v>
      </c>
      <c r="H4" s="22">
        <f t="shared" si="0"/>
        <v>8000</v>
      </c>
      <c r="I4" s="5">
        <v>45931</v>
      </c>
      <c r="J4" s="6">
        <f t="shared" si="1"/>
        <v>46296</v>
      </c>
      <c r="K4" s="23">
        <f t="shared" ca="1" si="2"/>
        <v>161</v>
      </c>
      <c r="L4" s="8" t="b">
        <v>1</v>
      </c>
      <c r="M4" s="8" t="b">
        <v>1</v>
      </c>
      <c r="N4" s="8" t="b">
        <v>1</v>
      </c>
      <c r="O4" s="8" t="b">
        <v>1</v>
      </c>
      <c r="P4" s="8" t="b">
        <v>0</v>
      </c>
      <c r="Q4" s="8" t="b">
        <v>0</v>
      </c>
      <c r="R4" s="24">
        <f t="shared" si="3"/>
        <v>67</v>
      </c>
      <c r="S4" s="5">
        <v>46082</v>
      </c>
      <c r="T4" s="23">
        <f t="shared" ca="1" si="4"/>
        <v>53</v>
      </c>
      <c r="U4" t="s">
        <v>65</v>
      </c>
    </row>
    <row r="5" spans="1:21" x14ac:dyDescent="0.2">
      <c r="A5" t="s">
        <v>66</v>
      </c>
      <c r="B5" t="s">
        <v>67</v>
      </c>
      <c r="C5" t="s">
        <v>68</v>
      </c>
      <c r="D5" t="s">
        <v>53</v>
      </c>
      <c r="E5" t="s">
        <v>69</v>
      </c>
      <c r="F5" s="4">
        <v>3000</v>
      </c>
      <c r="G5" s="4">
        <v>0</v>
      </c>
      <c r="H5" s="22">
        <f t="shared" si="0"/>
        <v>3000</v>
      </c>
      <c r="I5" s="5">
        <v>45757</v>
      </c>
      <c r="J5" s="6">
        <f t="shared" si="1"/>
        <v>46122</v>
      </c>
      <c r="K5" s="23">
        <f t="shared" ca="1" si="2"/>
        <v>-13</v>
      </c>
      <c r="L5" s="8" t="b">
        <v>1</v>
      </c>
      <c r="M5" s="8" t="b">
        <v>1</v>
      </c>
      <c r="N5" s="8" t="b">
        <v>1</v>
      </c>
      <c r="O5" s="8" t="b">
        <v>1</v>
      </c>
      <c r="P5" s="8" t="b">
        <v>1</v>
      </c>
      <c r="Q5" s="8" t="b">
        <v>1</v>
      </c>
      <c r="R5" s="24">
        <f t="shared" si="3"/>
        <v>100</v>
      </c>
      <c r="S5" s="5">
        <v>46054</v>
      </c>
      <c r="T5" s="23">
        <f t="shared" ca="1" si="4"/>
        <v>81</v>
      </c>
      <c r="U5" t="s">
        <v>70</v>
      </c>
    </row>
    <row r="6" spans="1:21" x14ac:dyDescent="0.2">
      <c r="A6" t="s">
        <v>71</v>
      </c>
      <c r="B6" t="s">
        <v>72</v>
      </c>
      <c r="C6" t="s">
        <v>73</v>
      </c>
      <c r="D6" t="s">
        <v>59</v>
      </c>
      <c r="E6" t="s">
        <v>74</v>
      </c>
      <c r="F6" s="4">
        <v>0</v>
      </c>
      <c r="G6" s="4">
        <v>1200</v>
      </c>
      <c r="H6" s="22">
        <f t="shared" si="0"/>
        <v>1200</v>
      </c>
      <c r="I6" s="5"/>
      <c r="J6" s="6" t="str">
        <f t="shared" si="1"/>
        <v/>
      </c>
      <c r="K6" s="23" t="str">
        <f t="shared" ca="1" si="2"/>
        <v/>
      </c>
      <c r="L6" s="8" t="b">
        <v>0</v>
      </c>
      <c r="M6" s="8" t="b">
        <v>0</v>
      </c>
      <c r="N6" s="8" t="b">
        <v>0</v>
      </c>
      <c r="O6" s="8" t="b">
        <v>0</v>
      </c>
      <c r="P6" s="8" t="b">
        <v>0</v>
      </c>
      <c r="Q6" s="8" t="b">
        <v>0</v>
      </c>
      <c r="R6" s="24">
        <f t="shared" si="3"/>
        <v>0</v>
      </c>
      <c r="S6" s="5">
        <v>46085</v>
      </c>
      <c r="T6" s="23">
        <f t="shared" ca="1" si="4"/>
        <v>50</v>
      </c>
      <c r="U6" t="s">
        <v>75</v>
      </c>
    </row>
    <row r="7" spans="1:21" x14ac:dyDescent="0.2">
      <c r="A7" t="s">
        <v>76</v>
      </c>
      <c r="B7" t="s">
        <v>77</v>
      </c>
      <c r="C7" t="s">
        <v>78</v>
      </c>
      <c r="D7" t="s">
        <v>79</v>
      </c>
      <c r="E7" t="s">
        <v>54</v>
      </c>
      <c r="F7" s="4">
        <v>0</v>
      </c>
      <c r="G7" s="4">
        <v>4000</v>
      </c>
      <c r="H7" s="22">
        <f t="shared" si="0"/>
        <v>4000</v>
      </c>
      <c r="I7" s="5">
        <v>45889</v>
      </c>
      <c r="J7" s="6">
        <f t="shared" si="1"/>
        <v>46254</v>
      </c>
      <c r="K7" s="23">
        <f t="shared" ca="1" si="2"/>
        <v>119</v>
      </c>
      <c r="L7" s="8" t="b">
        <v>1</v>
      </c>
      <c r="M7" s="8" t="b">
        <v>0</v>
      </c>
      <c r="N7" s="8" t="b">
        <v>1</v>
      </c>
      <c r="O7" s="8" t="b">
        <v>0</v>
      </c>
      <c r="P7" s="8" t="b">
        <v>0</v>
      </c>
      <c r="Q7" s="8" t="b">
        <v>0</v>
      </c>
      <c r="R7" s="24">
        <f t="shared" si="3"/>
        <v>33</v>
      </c>
      <c r="S7" s="5">
        <v>46001</v>
      </c>
      <c r="T7" s="23">
        <f t="shared" ca="1" si="4"/>
        <v>134</v>
      </c>
      <c r="U7" t="s">
        <v>80</v>
      </c>
    </row>
    <row r="8" spans="1:21" x14ac:dyDescent="0.2">
      <c r="A8" t="s">
        <v>81</v>
      </c>
      <c r="B8" t="s">
        <v>82</v>
      </c>
      <c r="C8" t="s">
        <v>83</v>
      </c>
      <c r="D8" t="s">
        <v>53</v>
      </c>
      <c r="E8" t="s">
        <v>84</v>
      </c>
      <c r="F8" s="4">
        <v>2500</v>
      </c>
      <c r="G8" s="4">
        <v>0</v>
      </c>
      <c r="H8" s="22">
        <f t="shared" si="0"/>
        <v>2500</v>
      </c>
      <c r="I8" s="5">
        <v>46037</v>
      </c>
      <c r="J8" s="6">
        <f t="shared" si="1"/>
        <v>46402</v>
      </c>
      <c r="K8" s="23">
        <f t="shared" ca="1" si="2"/>
        <v>267</v>
      </c>
      <c r="L8" s="8" t="b">
        <v>1</v>
      </c>
      <c r="M8" s="8" t="b">
        <v>0</v>
      </c>
      <c r="N8" s="8" t="b">
        <v>0</v>
      </c>
      <c r="O8" s="8" t="b">
        <v>0</v>
      </c>
      <c r="P8" s="8" t="b">
        <v>0</v>
      </c>
      <c r="Q8" s="8" t="b">
        <v>0</v>
      </c>
      <c r="R8" s="24">
        <f t="shared" si="3"/>
        <v>17</v>
      </c>
      <c r="S8" s="5">
        <v>46081</v>
      </c>
      <c r="T8" s="23">
        <f t="shared" ca="1" si="4"/>
        <v>54</v>
      </c>
      <c r="U8" t="s">
        <v>85</v>
      </c>
    </row>
    <row r="9" spans="1:21" x14ac:dyDescent="0.2">
      <c r="A9" t="s">
        <v>86</v>
      </c>
      <c r="B9" t="s">
        <v>87</v>
      </c>
      <c r="C9" t="s">
        <v>88</v>
      </c>
      <c r="D9" t="s">
        <v>89</v>
      </c>
      <c r="E9" t="s">
        <v>90</v>
      </c>
      <c r="F9" s="4">
        <v>10000</v>
      </c>
      <c r="G9" s="4">
        <v>0</v>
      </c>
      <c r="H9" s="22">
        <f t="shared" si="0"/>
        <v>10000</v>
      </c>
      <c r="I9" s="5">
        <v>45444</v>
      </c>
      <c r="J9" s="6">
        <f t="shared" si="1"/>
        <v>45809</v>
      </c>
      <c r="K9" s="23">
        <f t="shared" ca="1" si="2"/>
        <v>-326</v>
      </c>
      <c r="L9" s="8" t="b">
        <v>1</v>
      </c>
      <c r="M9" s="8" t="b">
        <v>1</v>
      </c>
      <c r="N9" s="8" t="b">
        <v>1</v>
      </c>
      <c r="O9" s="8" t="b">
        <v>1</v>
      </c>
      <c r="P9" s="8" t="b">
        <v>1</v>
      </c>
      <c r="Q9" s="8" t="b">
        <v>1</v>
      </c>
      <c r="R9" s="24">
        <f t="shared" si="3"/>
        <v>100</v>
      </c>
      <c r="S9" s="5">
        <v>45884</v>
      </c>
      <c r="T9" s="23">
        <f t="shared" ca="1" si="4"/>
        <v>251</v>
      </c>
      <c r="U9" t="s">
        <v>91</v>
      </c>
    </row>
  </sheetData>
  <conditionalFormatting sqref="E2:E1000">
    <cfRule type="expression" dxfId="17" priority="5">
      <formula>$E2="Active"</formula>
    </cfRule>
    <cfRule type="expression" dxfId="16" priority="6">
      <formula>$E2="Renewal Due"</formula>
    </cfRule>
    <cfRule type="expression" dxfId="15" priority="7">
      <formula>$E2="Lapsed"</formula>
    </cfRule>
  </conditionalFormatting>
  <conditionalFormatting sqref="K2:K9">
    <cfRule type="cellIs" dxfId="14" priority="1" operator="lessThan">
      <formula>0</formula>
    </cfRule>
    <cfRule type="cellIs" dxfId="13" priority="2" operator="between">
      <formula>0</formula>
      <formula>60</formula>
    </cfRule>
  </conditionalFormatting>
  <conditionalFormatting sqref="T2:T1000">
    <cfRule type="cellIs" dxfId="12" priority="3" operator="greaterThan">
      <formula>60</formula>
    </cfRule>
    <cfRule type="cellIs" dxfId="11" priority="4" operator="between">
      <formula>31</formula>
      <formula>60</formula>
    </cfRule>
  </conditionalFormatting>
  <dataValidations count="3">
    <dataValidation type="list" allowBlank="1" sqref="D2:D1000" xr:uid="{00000000-0002-0000-0100-000000000000}">
      <formula1>"Sponsor,Donor,In-Kind,Media,Government,Other"</formula1>
    </dataValidation>
    <dataValidation type="list" allowBlank="1" sqref="E2:E1000" xr:uid="{00000000-0002-0000-0100-000001000000}">
      <formula1>"Prospect,Contacted,Committed,Active,Renewal Due,Renewed,Lapsed"</formula1>
    </dataValidation>
    <dataValidation type="list" allowBlank="1" sqref="L2:Q1000" xr:uid="{00000000-0002-0000-0100-000002000000}">
      <formula1>"TRUE,FALSE"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9"/>
  <sheetViews>
    <sheetView workbookViewId="0">
      <pane xSplit="1" ySplit="1" topLeftCell="B2" activePane="bottomRight" state="frozen"/>
      <selection pane="topRight"/>
      <selection pane="bottomLeft"/>
      <selection pane="bottomRight"/>
    </sheetView>
  </sheetViews>
  <sheetFormatPr baseColWidth="10" defaultColWidth="8.83203125" defaultRowHeight="15" x14ac:dyDescent="0.2"/>
  <cols>
    <col min="1" max="1" width="32" customWidth="1"/>
    <col min="2" max="3" width="14" customWidth="1"/>
    <col min="4" max="6" width="12" customWidth="1"/>
    <col min="7" max="7" width="10" customWidth="1"/>
    <col min="8" max="16" width="12" customWidth="1"/>
    <col min="17" max="17" width="18" customWidth="1"/>
    <col min="18" max="37" width="8" customWidth="1"/>
    <col min="38" max="38" width="12" customWidth="1"/>
    <col min="39" max="39" width="30" customWidth="1"/>
  </cols>
  <sheetData>
    <row r="1" spans="1:39" ht="30" customHeight="1" x14ac:dyDescent="0.2">
      <c r="A1" s="3" t="s">
        <v>92</v>
      </c>
      <c r="B1" s="3" t="s">
        <v>93</v>
      </c>
      <c r="C1" s="3" t="s">
        <v>33</v>
      </c>
      <c r="D1" s="3" t="s">
        <v>94</v>
      </c>
      <c r="E1" s="3" t="s">
        <v>37</v>
      </c>
      <c r="F1" s="3" t="s">
        <v>95</v>
      </c>
      <c r="G1" s="3" t="s">
        <v>96</v>
      </c>
      <c r="H1" s="3" t="s">
        <v>97</v>
      </c>
      <c r="I1" s="3" t="s">
        <v>98</v>
      </c>
      <c r="J1" s="3" t="s">
        <v>99</v>
      </c>
      <c r="K1" s="3" t="s">
        <v>100</v>
      </c>
      <c r="L1" s="3" t="s">
        <v>101</v>
      </c>
      <c r="M1" s="3" t="s">
        <v>102</v>
      </c>
      <c r="N1" s="3" t="s">
        <v>103</v>
      </c>
      <c r="O1" s="3" t="s">
        <v>104</v>
      </c>
      <c r="P1" s="3" t="s">
        <v>105</v>
      </c>
      <c r="Q1" s="3" t="s">
        <v>106</v>
      </c>
      <c r="R1" s="3" t="s">
        <v>107</v>
      </c>
      <c r="S1" s="3" t="s">
        <v>108</v>
      </c>
      <c r="T1" s="3" t="s">
        <v>109</v>
      </c>
      <c r="U1" s="3" t="s">
        <v>110</v>
      </c>
      <c r="V1" s="3" t="s">
        <v>111</v>
      </c>
      <c r="W1" s="3" t="s">
        <v>112</v>
      </c>
      <c r="X1" s="3" t="s">
        <v>113</v>
      </c>
      <c r="Y1" s="3" t="s">
        <v>114</v>
      </c>
      <c r="Z1" s="3" t="s">
        <v>115</v>
      </c>
      <c r="AA1" s="3" t="s">
        <v>116</v>
      </c>
      <c r="AB1" s="3" t="s">
        <v>117</v>
      </c>
      <c r="AC1" s="3" t="s">
        <v>118</v>
      </c>
      <c r="AD1" s="3" t="s">
        <v>119</v>
      </c>
      <c r="AE1" s="3" t="s">
        <v>120</v>
      </c>
      <c r="AF1" s="3" t="s">
        <v>121</v>
      </c>
      <c r="AG1" s="3" t="s">
        <v>122</v>
      </c>
      <c r="AH1" s="3" t="s">
        <v>123</v>
      </c>
      <c r="AI1" s="3" t="s">
        <v>124</v>
      </c>
      <c r="AJ1" s="3" t="s">
        <v>125</v>
      </c>
      <c r="AK1" s="3" t="s">
        <v>126</v>
      </c>
      <c r="AL1" s="3" t="s">
        <v>127</v>
      </c>
      <c r="AM1" s="3" t="s">
        <v>49</v>
      </c>
    </row>
    <row r="2" spans="1:39" x14ac:dyDescent="0.2">
      <c r="A2" t="s">
        <v>128</v>
      </c>
      <c r="B2" t="s">
        <v>129</v>
      </c>
      <c r="C2" t="s">
        <v>130</v>
      </c>
      <c r="D2" t="s">
        <v>131</v>
      </c>
      <c r="E2" s="5">
        <v>46130</v>
      </c>
      <c r="F2" s="5">
        <v>46130</v>
      </c>
      <c r="G2" s="7">
        <f t="shared" ref="G2:G9" ca="1" si="0">IF(E2="","",E2-TODAY())</f>
        <v>-5</v>
      </c>
      <c r="H2" s="4">
        <v>2200</v>
      </c>
      <c r="I2" s="4">
        <v>800</v>
      </c>
      <c r="J2" s="10">
        <f t="shared" ref="J2:J9" si="1">H2-I2</f>
        <v>1400</v>
      </c>
      <c r="K2" s="11">
        <v>150</v>
      </c>
      <c r="L2" s="11"/>
      <c r="M2" s="4">
        <v>1800</v>
      </c>
      <c r="N2" s="12">
        <v>2</v>
      </c>
      <c r="O2" s="4">
        <v>1500</v>
      </c>
      <c r="P2" s="10">
        <f t="shared" ref="P2:P9" si="2">M2+O2-I2</f>
        <v>2500</v>
      </c>
      <c r="Q2" t="s">
        <v>132</v>
      </c>
      <c r="R2" s="8" t="b">
        <v>1</v>
      </c>
      <c r="S2" s="8" t="b">
        <v>1</v>
      </c>
      <c r="T2" s="8" t="b">
        <v>1</v>
      </c>
      <c r="U2" s="8" t="b">
        <v>1</v>
      </c>
      <c r="V2" s="8" t="b">
        <v>1</v>
      </c>
      <c r="W2" s="8" t="b">
        <v>1</v>
      </c>
      <c r="X2" s="8" t="b">
        <v>1</v>
      </c>
      <c r="Y2" s="8" t="b">
        <v>0</v>
      </c>
      <c r="Z2" s="8" t="b">
        <v>0</v>
      </c>
      <c r="AA2" s="8" t="b">
        <v>1</v>
      </c>
      <c r="AB2" s="8" t="b">
        <v>0</v>
      </c>
      <c r="AC2" s="8" t="b">
        <v>0</v>
      </c>
      <c r="AD2" s="8" t="b">
        <v>0</v>
      </c>
      <c r="AE2" s="8" t="b">
        <v>0</v>
      </c>
      <c r="AF2" s="8" t="b">
        <v>0</v>
      </c>
      <c r="AG2" s="8" t="b">
        <v>0</v>
      </c>
      <c r="AH2" s="8" t="b">
        <v>0</v>
      </c>
      <c r="AI2" s="8" t="b">
        <v>0</v>
      </c>
      <c r="AJ2" s="8" t="b">
        <v>0</v>
      </c>
      <c r="AK2" s="8" t="b">
        <v>0</v>
      </c>
      <c r="AL2" s="9"/>
      <c r="AM2">
        <f t="shared" ref="AM2:AM9" si="3">ROUND(COUNTIF(R2:AK2,TRUE)/20*100,0)</f>
        <v>40</v>
      </c>
    </row>
    <row r="3" spans="1:39" x14ac:dyDescent="0.2">
      <c r="A3" t="s">
        <v>133</v>
      </c>
      <c r="B3" t="s">
        <v>134</v>
      </c>
      <c r="C3" t="s">
        <v>135</v>
      </c>
      <c r="D3" t="s">
        <v>136</v>
      </c>
      <c r="E3" s="5">
        <v>46144</v>
      </c>
      <c r="F3" s="5">
        <v>46144</v>
      </c>
      <c r="G3" s="7">
        <f t="shared" ca="1" si="0"/>
        <v>9</v>
      </c>
      <c r="H3" s="4">
        <v>400</v>
      </c>
      <c r="I3" s="4">
        <v>0</v>
      </c>
      <c r="J3" s="10">
        <f t="shared" si="1"/>
        <v>400</v>
      </c>
      <c r="K3" s="11">
        <v>20</v>
      </c>
      <c r="L3" s="11"/>
      <c r="M3" s="4">
        <v>300</v>
      </c>
      <c r="N3" s="12">
        <v>1</v>
      </c>
      <c r="O3" s="4">
        <v>200</v>
      </c>
      <c r="P3" s="10">
        <f t="shared" si="2"/>
        <v>500</v>
      </c>
      <c r="Q3" t="s">
        <v>137</v>
      </c>
      <c r="R3" s="8" t="b">
        <v>1</v>
      </c>
      <c r="S3" s="8" t="b">
        <v>1</v>
      </c>
      <c r="T3" s="8" t="b">
        <v>0</v>
      </c>
      <c r="U3" s="8" t="b">
        <v>0</v>
      </c>
      <c r="V3" s="8" t="b">
        <v>1</v>
      </c>
      <c r="W3" s="8" t="b">
        <v>0</v>
      </c>
      <c r="X3" s="8" t="b">
        <v>0</v>
      </c>
      <c r="Y3" s="8" t="b">
        <v>0</v>
      </c>
      <c r="Z3" s="8" t="b">
        <v>0</v>
      </c>
      <c r="AA3" s="8" t="b">
        <v>0</v>
      </c>
      <c r="AB3" s="8" t="b">
        <v>0</v>
      </c>
      <c r="AC3" s="8" t="b">
        <v>0</v>
      </c>
      <c r="AD3" s="8" t="b">
        <v>0</v>
      </c>
      <c r="AE3" s="8" t="b">
        <v>0</v>
      </c>
      <c r="AF3" s="8" t="b">
        <v>0</v>
      </c>
      <c r="AG3" s="8" t="b">
        <v>0</v>
      </c>
      <c r="AH3" s="8" t="b">
        <v>0</v>
      </c>
      <c r="AI3" s="8" t="b">
        <v>0</v>
      </c>
      <c r="AJ3" s="8" t="b">
        <v>0</v>
      </c>
      <c r="AK3" s="8" t="b">
        <v>0</v>
      </c>
      <c r="AL3" s="9"/>
      <c r="AM3">
        <f t="shared" si="3"/>
        <v>15</v>
      </c>
    </row>
    <row r="4" spans="1:39" x14ac:dyDescent="0.2">
      <c r="A4" t="s">
        <v>138</v>
      </c>
      <c r="B4" t="s">
        <v>139</v>
      </c>
      <c r="C4" t="s">
        <v>140</v>
      </c>
      <c r="D4" t="s">
        <v>141</v>
      </c>
      <c r="E4" s="5">
        <v>46187</v>
      </c>
      <c r="F4" s="5">
        <v>46187</v>
      </c>
      <c r="G4" s="7">
        <f t="shared" ca="1" si="0"/>
        <v>52</v>
      </c>
      <c r="H4" s="4">
        <v>8500</v>
      </c>
      <c r="I4" s="4">
        <v>3200</v>
      </c>
      <c r="J4" s="10">
        <f t="shared" si="1"/>
        <v>5300</v>
      </c>
      <c r="K4" s="11">
        <v>200</v>
      </c>
      <c r="L4" s="11"/>
      <c r="M4" s="4">
        <v>0</v>
      </c>
      <c r="N4" s="12">
        <v>6</v>
      </c>
      <c r="O4" s="4">
        <v>12000</v>
      </c>
      <c r="P4" s="10">
        <f t="shared" si="2"/>
        <v>8800</v>
      </c>
      <c r="Q4" t="s">
        <v>142</v>
      </c>
      <c r="R4" s="8" t="b">
        <v>1</v>
      </c>
      <c r="S4" s="8" t="b">
        <v>1</v>
      </c>
      <c r="T4" s="8" t="b">
        <v>1</v>
      </c>
      <c r="U4" s="8" t="b">
        <v>1</v>
      </c>
      <c r="V4" s="8" t="b">
        <v>1</v>
      </c>
      <c r="W4" s="8" t="b">
        <v>1</v>
      </c>
      <c r="X4" s="8" t="b">
        <v>1</v>
      </c>
      <c r="Y4" s="8" t="b">
        <v>1</v>
      </c>
      <c r="Z4" s="8" t="b">
        <v>1</v>
      </c>
      <c r="AA4" s="8" t="b">
        <v>1</v>
      </c>
      <c r="AB4" s="8" t="b">
        <v>1</v>
      </c>
      <c r="AC4" s="8" t="b">
        <v>0</v>
      </c>
      <c r="AD4" s="8" t="b">
        <v>0</v>
      </c>
      <c r="AE4" s="8" t="b">
        <v>0</v>
      </c>
      <c r="AF4" s="8" t="b">
        <v>0</v>
      </c>
      <c r="AG4" s="8" t="b">
        <v>0</v>
      </c>
      <c r="AH4" s="8" t="b">
        <v>0</v>
      </c>
      <c r="AI4" s="8" t="b">
        <v>0</v>
      </c>
      <c r="AJ4" s="8" t="b">
        <v>0</v>
      </c>
      <c r="AK4" s="8" t="b">
        <v>0</v>
      </c>
      <c r="AL4" s="9"/>
      <c r="AM4">
        <f t="shared" si="3"/>
        <v>55</v>
      </c>
    </row>
    <row r="5" spans="1:39" x14ac:dyDescent="0.2">
      <c r="A5" t="s">
        <v>143</v>
      </c>
      <c r="B5" t="s">
        <v>144</v>
      </c>
      <c r="C5" t="s">
        <v>145</v>
      </c>
      <c r="D5" t="s">
        <v>146</v>
      </c>
      <c r="E5" s="5">
        <v>46162</v>
      </c>
      <c r="F5" s="5">
        <v>46164</v>
      </c>
      <c r="G5" s="7">
        <f t="shared" ca="1" si="0"/>
        <v>27</v>
      </c>
      <c r="H5" s="4">
        <v>600</v>
      </c>
      <c r="I5" s="4">
        <v>0</v>
      </c>
      <c r="J5" s="10">
        <f t="shared" si="1"/>
        <v>600</v>
      </c>
      <c r="K5" s="11">
        <v>75</v>
      </c>
      <c r="L5" s="11"/>
      <c r="M5" s="4">
        <v>0</v>
      </c>
      <c r="N5" s="12">
        <v>0</v>
      </c>
      <c r="O5" s="4">
        <v>0</v>
      </c>
      <c r="P5" s="10">
        <f t="shared" si="2"/>
        <v>0</v>
      </c>
      <c r="Q5" t="s">
        <v>147</v>
      </c>
      <c r="R5" s="8" t="b">
        <v>0</v>
      </c>
      <c r="S5" s="8" t="b">
        <v>0</v>
      </c>
      <c r="T5" s="8" t="b">
        <v>0</v>
      </c>
      <c r="U5" s="8" t="b">
        <v>0</v>
      </c>
      <c r="V5" s="8" t="b">
        <v>0</v>
      </c>
      <c r="W5" s="8" t="b">
        <v>0</v>
      </c>
      <c r="X5" s="8" t="b">
        <v>0</v>
      </c>
      <c r="Y5" s="8" t="b">
        <v>0</v>
      </c>
      <c r="Z5" s="8" t="b">
        <v>0</v>
      </c>
      <c r="AA5" s="8" t="b">
        <v>0</v>
      </c>
      <c r="AB5" s="8" t="b">
        <v>0</v>
      </c>
      <c r="AC5" s="8" t="b">
        <v>0</v>
      </c>
      <c r="AD5" s="8" t="b">
        <v>0</v>
      </c>
      <c r="AE5" s="8" t="b">
        <v>0</v>
      </c>
      <c r="AF5" s="8" t="b">
        <v>0</v>
      </c>
      <c r="AG5" s="8" t="b">
        <v>0</v>
      </c>
      <c r="AH5" s="8" t="b">
        <v>0</v>
      </c>
      <c r="AI5" s="8" t="b">
        <v>0</v>
      </c>
      <c r="AJ5" s="8" t="b">
        <v>0</v>
      </c>
      <c r="AK5" s="8" t="b">
        <v>0</v>
      </c>
      <c r="AL5" s="9"/>
      <c r="AM5">
        <f t="shared" si="3"/>
        <v>0</v>
      </c>
    </row>
    <row r="6" spans="1:39" x14ac:dyDescent="0.2">
      <c r="A6" t="s">
        <v>148</v>
      </c>
      <c r="B6" t="s">
        <v>129</v>
      </c>
      <c r="C6" t="s">
        <v>135</v>
      </c>
      <c r="D6" t="s">
        <v>131</v>
      </c>
      <c r="E6" s="5">
        <v>46214</v>
      </c>
      <c r="F6" s="5">
        <v>46215</v>
      </c>
      <c r="G6" s="7">
        <f t="shared" ca="1" si="0"/>
        <v>79</v>
      </c>
      <c r="H6" s="4">
        <v>12000</v>
      </c>
      <c r="I6" s="4">
        <v>1500</v>
      </c>
      <c r="J6" s="10">
        <f t="shared" si="1"/>
        <v>10500</v>
      </c>
      <c r="K6" s="11">
        <v>500</v>
      </c>
      <c r="L6" s="11"/>
      <c r="M6" s="4">
        <v>0</v>
      </c>
      <c r="N6" s="12">
        <v>8</v>
      </c>
      <c r="O6" s="4">
        <v>6000</v>
      </c>
      <c r="P6" s="10">
        <f t="shared" si="2"/>
        <v>4500</v>
      </c>
      <c r="Q6" t="s">
        <v>149</v>
      </c>
      <c r="R6" s="8" t="b">
        <v>1</v>
      </c>
      <c r="S6" s="8" t="b">
        <v>1</v>
      </c>
      <c r="T6" s="8" t="b">
        <v>0</v>
      </c>
      <c r="U6" s="8" t="b">
        <v>0</v>
      </c>
      <c r="V6" s="8" t="b">
        <v>1</v>
      </c>
      <c r="W6" s="8" t="b">
        <v>0</v>
      </c>
      <c r="X6" s="8" t="b">
        <v>0</v>
      </c>
      <c r="Y6" s="8" t="b">
        <v>0</v>
      </c>
      <c r="Z6" s="8" t="b">
        <v>0</v>
      </c>
      <c r="AA6" s="8" t="b">
        <v>0</v>
      </c>
      <c r="AB6" s="8" t="b">
        <v>0</v>
      </c>
      <c r="AC6" s="8" t="b">
        <v>0</v>
      </c>
      <c r="AD6" s="8" t="b">
        <v>0</v>
      </c>
      <c r="AE6" s="8" t="b">
        <v>0</v>
      </c>
      <c r="AF6" s="8" t="b">
        <v>0</v>
      </c>
      <c r="AG6" s="8" t="b">
        <v>0</v>
      </c>
      <c r="AH6" s="8" t="b">
        <v>0</v>
      </c>
      <c r="AI6" s="8" t="b">
        <v>0</v>
      </c>
      <c r="AJ6" s="8" t="b">
        <v>0</v>
      </c>
      <c r="AK6" s="8" t="b">
        <v>0</v>
      </c>
      <c r="AL6" s="9"/>
      <c r="AM6">
        <f t="shared" si="3"/>
        <v>15</v>
      </c>
    </row>
    <row r="7" spans="1:39" x14ac:dyDescent="0.2">
      <c r="A7" t="s">
        <v>150</v>
      </c>
      <c r="B7" t="s">
        <v>151</v>
      </c>
      <c r="C7" t="s">
        <v>152</v>
      </c>
      <c r="D7" t="s">
        <v>141</v>
      </c>
      <c r="E7" s="5">
        <v>46061</v>
      </c>
      <c r="F7" s="5">
        <v>46061</v>
      </c>
      <c r="G7" s="7">
        <f t="shared" ca="1" si="0"/>
        <v>-74</v>
      </c>
      <c r="H7" s="4">
        <v>350</v>
      </c>
      <c r="I7" s="4">
        <v>320</v>
      </c>
      <c r="J7" s="10">
        <f t="shared" si="1"/>
        <v>30</v>
      </c>
      <c r="K7" s="11">
        <v>12</v>
      </c>
      <c r="L7" s="11">
        <v>11</v>
      </c>
      <c r="M7" s="4">
        <v>0</v>
      </c>
      <c r="N7" s="12">
        <v>0</v>
      </c>
      <c r="O7" s="4">
        <v>0</v>
      </c>
      <c r="P7" s="10">
        <f t="shared" si="2"/>
        <v>-320</v>
      </c>
      <c r="Q7" t="s">
        <v>153</v>
      </c>
      <c r="R7" s="8" t="b">
        <v>1</v>
      </c>
      <c r="S7" s="8" t="b">
        <v>1</v>
      </c>
      <c r="T7" s="8" t="b">
        <v>1</v>
      </c>
      <c r="U7" s="8" t="b">
        <v>1</v>
      </c>
      <c r="V7" s="8" t="b">
        <v>1</v>
      </c>
      <c r="W7" s="8" t="b">
        <v>1</v>
      </c>
      <c r="X7" s="8" t="b">
        <v>1</v>
      </c>
      <c r="Y7" s="8" t="b">
        <v>1</v>
      </c>
      <c r="Z7" s="8" t="b">
        <v>1</v>
      </c>
      <c r="AA7" s="8" t="b">
        <v>1</v>
      </c>
      <c r="AB7" s="8" t="b">
        <v>1</v>
      </c>
      <c r="AC7" s="8" t="b">
        <v>1</v>
      </c>
      <c r="AD7" s="8" t="b">
        <v>1</v>
      </c>
      <c r="AE7" s="8" t="b">
        <v>1</v>
      </c>
      <c r="AF7" s="8" t="b">
        <v>1</v>
      </c>
      <c r="AG7" s="8" t="b">
        <v>1</v>
      </c>
      <c r="AH7" s="8" t="b">
        <v>1</v>
      </c>
      <c r="AI7" s="8" t="b">
        <v>1</v>
      </c>
      <c r="AJ7" s="8" t="b">
        <v>1</v>
      </c>
      <c r="AK7" s="8" t="b">
        <v>1</v>
      </c>
      <c r="AL7" s="9"/>
      <c r="AM7">
        <f t="shared" si="3"/>
        <v>100</v>
      </c>
    </row>
    <row r="8" spans="1:39" x14ac:dyDescent="0.2">
      <c r="A8" t="s">
        <v>154</v>
      </c>
      <c r="B8" t="s">
        <v>155</v>
      </c>
      <c r="C8" t="s">
        <v>130</v>
      </c>
      <c r="D8" t="s">
        <v>136</v>
      </c>
      <c r="E8" s="5">
        <v>46196</v>
      </c>
      <c r="F8" s="5">
        <v>46200</v>
      </c>
      <c r="G8" s="7">
        <f t="shared" ca="1" si="0"/>
        <v>61</v>
      </c>
      <c r="H8" s="4">
        <v>1800</v>
      </c>
      <c r="I8" s="4">
        <v>200</v>
      </c>
      <c r="J8" s="10">
        <f t="shared" si="1"/>
        <v>1600</v>
      </c>
      <c r="K8" s="11">
        <v>30</v>
      </c>
      <c r="L8" s="11"/>
      <c r="M8" s="4">
        <v>1500</v>
      </c>
      <c r="N8" s="12">
        <v>2</v>
      </c>
      <c r="O8" s="4">
        <v>500</v>
      </c>
      <c r="P8" s="10">
        <f t="shared" si="2"/>
        <v>1800</v>
      </c>
      <c r="Q8" t="s">
        <v>156</v>
      </c>
      <c r="R8" s="8" t="b">
        <v>1</v>
      </c>
      <c r="S8" s="8" t="b">
        <v>1</v>
      </c>
      <c r="T8" s="8" t="b">
        <v>1</v>
      </c>
      <c r="U8" s="8" t="b">
        <v>1</v>
      </c>
      <c r="V8" s="8" t="b">
        <v>1</v>
      </c>
      <c r="W8" s="8" t="b">
        <v>1</v>
      </c>
      <c r="X8" s="8" t="b">
        <v>0</v>
      </c>
      <c r="Y8" s="8" t="b">
        <v>1</v>
      </c>
      <c r="Z8" s="8" t="b">
        <v>0</v>
      </c>
      <c r="AA8" s="8" t="b">
        <v>0</v>
      </c>
      <c r="AB8" s="8" t="b">
        <v>0</v>
      </c>
      <c r="AC8" s="8" t="b">
        <v>0</v>
      </c>
      <c r="AD8" s="8" t="b">
        <v>0</v>
      </c>
      <c r="AE8" s="8" t="b">
        <v>0</v>
      </c>
      <c r="AF8" s="8" t="b">
        <v>0</v>
      </c>
      <c r="AG8" s="8" t="b">
        <v>0</v>
      </c>
      <c r="AH8" s="8" t="b">
        <v>0</v>
      </c>
      <c r="AI8" s="8" t="b">
        <v>0</v>
      </c>
      <c r="AJ8" s="8" t="b">
        <v>0</v>
      </c>
      <c r="AK8" s="8" t="b">
        <v>0</v>
      </c>
      <c r="AL8" s="9"/>
      <c r="AM8">
        <f t="shared" si="3"/>
        <v>35</v>
      </c>
    </row>
    <row r="9" spans="1:39" x14ac:dyDescent="0.2">
      <c r="A9" t="s">
        <v>157</v>
      </c>
      <c r="B9" t="s">
        <v>158</v>
      </c>
      <c r="C9" t="s">
        <v>145</v>
      </c>
      <c r="D9" t="s">
        <v>146</v>
      </c>
      <c r="E9" s="5">
        <v>46362</v>
      </c>
      <c r="F9" s="5">
        <v>46362</v>
      </c>
      <c r="G9" s="7">
        <f t="shared" ca="1" si="0"/>
        <v>227</v>
      </c>
      <c r="H9" s="4">
        <v>1500</v>
      </c>
      <c r="I9" s="4">
        <v>0</v>
      </c>
      <c r="J9" s="10">
        <f t="shared" si="1"/>
        <v>1500</v>
      </c>
      <c r="K9" s="11">
        <v>300</v>
      </c>
      <c r="L9" s="11"/>
      <c r="M9" s="4">
        <v>0</v>
      </c>
      <c r="N9" s="12">
        <v>4</v>
      </c>
      <c r="O9" s="4">
        <v>2000</v>
      </c>
      <c r="P9" s="10">
        <f t="shared" si="2"/>
        <v>2000</v>
      </c>
      <c r="Q9" t="s">
        <v>159</v>
      </c>
      <c r="R9" s="8" t="b">
        <v>0</v>
      </c>
      <c r="S9" s="8" t="b">
        <v>0</v>
      </c>
      <c r="T9" s="8" t="b">
        <v>0</v>
      </c>
      <c r="U9" s="8" t="b">
        <v>0</v>
      </c>
      <c r="V9" s="8" t="b">
        <v>0</v>
      </c>
      <c r="W9" s="8" t="b">
        <v>0</v>
      </c>
      <c r="X9" s="8" t="b">
        <v>0</v>
      </c>
      <c r="Y9" s="8" t="b">
        <v>0</v>
      </c>
      <c r="Z9" s="8" t="b">
        <v>0</v>
      </c>
      <c r="AA9" s="8" t="b">
        <v>0</v>
      </c>
      <c r="AB9" s="8" t="b">
        <v>0</v>
      </c>
      <c r="AC9" s="8" t="b">
        <v>0</v>
      </c>
      <c r="AD9" s="8" t="b">
        <v>0</v>
      </c>
      <c r="AE9" s="8" t="b">
        <v>0</v>
      </c>
      <c r="AF9" s="8" t="b">
        <v>0</v>
      </c>
      <c r="AG9" s="8" t="b">
        <v>0</v>
      </c>
      <c r="AH9" s="8" t="b">
        <v>0</v>
      </c>
      <c r="AI9" s="8" t="b">
        <v>0</v>
      </c>
      <c r="AJ9" s="8" t="b">
        <v>0</v>
      </c>
      <c r="AK9" s="8" t="b">
        <v>0</v>
      </c>
      <c r="AL9" s="9"/>
      <c r="AM9">
        <f t="shared" si="3"/>
        <v>0</v>
      </c>
    </row>
  </sheetData>
  <conditionalFormatting sqref="C2:C1000">
    <cfRule type="expression" dxfId="10" priority="4">
      <formula>$C2="Complete"</formula>
    </cfRule>
    <cfRule type="expression" dxfId="9" priority="5">
      <formula>$C2="In Progress"</formula>
    </cfRule>
    <cfRule type="expression" dxfId="8" priority="6">
      <formula>$C2="Cancelled"</formula>
    </cfRule>
  </conditionalFormatting>
  <conditionalFormatting sqref="G2:G1000">
    <cfRule type="cellIs" dxfId="7" priority="1" operator="lessThan">
      <formula>0</formula>
    </cfRule>
    <cfRule type="cellIs" dxfId="6" priority="2" operator="between">
      <formula>0</formula>
      <formula>13</formula>
    </cfRule>
    <cfRule type="cellIs" dxfId="5" priority="3" operator="between">
      <formula>14</formula>
      <formula>30</formula>
    </cfRule>
  </conditionalFormatting>
  <dataValidations count="3">
    <dataValidation type="list" allowBlank="1" sqref="B2:B1000" xr:uid="{00000000-0002-0000-0200-000000000000}">
      <formula1>"Concert,Exhibit,Workshop,Fundraiser,Education,Community,Meeting,Other"</formula1>
    </dataValidation>
    <dataValidation type="list" allowBlank="1" sqref="C2:C1000" xr:uid="{00000000-0002-0000-0200-000001000000}">
      <formula1>"Idea,Planning,Confirmed,In Progress,Complete,Cancelled"</formula1>
    </dataValidation>
    <dataValidation type="list" allowBlank="1" sqref="R2:R1000 S2:S1000 T2:T1000 U2:U1000 V2:V1000 W2:W1000 X2:X1000 Y2:Y1000 Z2:Z1000 AA2:AA1000 AB2:AB1000 AC2:AC1000 AD2:AD1000 AE2:AE1000 AF2:AF1000 AG2:AG1000 AH2:AH1000 AI2:AI1000 AJ2:AJ1000 AK2:AK1000" xr:uid="{00000000-0002-0000-0200-000002000000}">
      <formula1>"TRUE,FALSE"</formula1>
    </dataValidation>
  </dataValidations>
  <pageMargins left="0.75" right="0.75" top="1" bottom="1" header="0.5" footer="0.5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0"/>
  <sheetViews>
    <sheetView showGridLines="0" workbookViewId="0">
      <selection activeCell="K16" sqref="K16"/>
    </sheetView>
  </sheetViews>
  <sheetFormatPr baseColWidth="10" defaultColWidth="8.83203125" defaultRowHeight="15" x14ac:dyDescent="0.2"/>
  <cols>
    <col min="1" max="1" width="31.1640625" customWidth="1"/>
    <col min="2" max="2" width="16" customWidth="1"/>
    <col min="3" max="3" width="22" customWidth="1"/>
    <col min="4" max="4" width="18" customWidth="1"/>
    <col min="5" max="5" width="13" customWidth="1"/>
    <col min="6" max="6" width="10.6640625" bestFit="1" customWidth="1"/>
  </cols>
  <sheetData>
    <row r="1" spans="1:6" ht="32" customHeight="1" x14ac:dyDescent="0.2">
      <c r="A1" s="30" t="s">
        <v>0</v>
      </c>
      <c r="B1" s="30"/>
      <c r="C1" s="30"/>
      <c r="D1" s="30"/>
      <c r="E1" s="30"/>
      <c r="F1" s="30"/>
    </row>
    <row r="2" spans="1:6" x14ac:dyDescent="0.2">
      <c r="A2" s="1" t="s">
        <v>160</v>
      </c>
      <c r="C2" s="1" t="str">
        <f ca="1">TEXT(TODAY(),"MMMM D, YYYY")</f>
        <v>April 23, 2026</v>
      </c>
    </row>
    <row r="4" spans="1:6" ht="16" x14ac:dyDescent="0.2">
      <c r="A4" s="2" t="s">
        <v>161</v>
      </c>
      <c r="B4" s="13"/>
      <c r="C4" s="13"/>
      <c r="D4" s="13"/>
      <c r="E4" s="13"/>
      <c r="F4" s="13"/>
    </row>
    <row r="5" spans="1:6" x14ac:dyDescent="0.2">
      <c r="A5" t="s">
        <v>162</v>
      </c>
      <c r="B5" s="14">
        <f>COUNTA(Events!A2:A9)</f>
        <v>8</v>
      </c>
    </row>
    <row r="6" spans="1:6" x14ac:dyDescent="0.2">
      <c r="A6" t="s">
        <v>163</v>
      </c>
      <c r="B6" s="14">
        <f>COUNTIF(Events!C2:C9,"Complete")</f>
        <v>1</v>
      </c>
    </row>
    <row r="7" spans="1:6" x14ac:dyDescent="0.2">
      <c r="A7" t="s">
        <v>164</v>
      </c>
      <c r="B7" s="14">
        <f>COUNTIFS(Events!C2:C9,"&lt;&gt;Complete",Events!C2:C9,"&lt;&gt;Cancelled",Events!C2:C9,"&lt;&gt;Idea")</f>
        <v>5</v>
      </c>
    </row>
    <row r="8" spans="1:6" x14ac:dyDescent="0.2">
      <c r="A8" t="s">
        <v>165</v>
      </c>
      <c r="B8" s="14">
        <f ca="1">COUNTIFS(Events!G2:G9,"&gt;="&amp;0,Events!G2:G9,"&lt;="&amp;30)</f>
        <v>2</v>
      </c>
    </row>
    <row r="9" spans="1:6" x14ac:dyDescent="0.2">
      <c r="A9" t="s">
        <v>166</v>
      </c>
      <c r="B9" s="14">
        <f>SUMIF(Events!C2:C9,"Complete",Events!L2:L9)</f>
        <v>11</v>
      </c>
    </row>
    <row r="10" spans="1:6" x14ac:dyDescent="0.2">
      <c r="A10" t="s">
        <v>167</v>
      </c>
      <c r="B10" s="14">
        <f>IFERROR(B9/B6,0)</f>
        <v>11</v>
      </c>
    </row>
    <row r="11" spans="1:6" x14ac:dyDescent="0.2">
      <c r="B11" s="15"/>
    </row>
    <row r="12" spans="1:6" ht="16" x14ac:dyDescent="0.2">
      <c r="A12" s="2" t="s">
        <v>168</v>
      </c>
      <c r="B12" s="16"/>
      <c r="C12" s="13"/>
      <c r="D12" s="13"/>
      <c r="E12" s="13"/>
      <c r="F12" s="13"/>
    </row>
    <row r="13" spans="1:6" x14ac:dyDescent="0.2">
      <c r="A13" t="s">
        <v>169</v>
      </c>
      <c r="B13" s="17">
        <f>SUM(Events!H2:H9)</f>
        <v>27350</v>
      </c>
    </row>
    <row r="14" spans="1:6" x14ac:dyDescent="0.2">
      <c r="A14" t="s">
        <v>170</v>
      </c>
      <c r="B14" s="17">
        <f>SUM(Events!I2:I9)</f>
        <v>6020</v>
      </c>
    </row>
    <row r="15" spans="1:6" x14ac:dyDescent="0.2">
      <c r="A15" t="s">
        <v>99</v>
      </c>
      <c r="B15" s="17">
        <f>B13-B14</f>
        <v>21330</v>
      </c>
      <c r="D15" t="str">
        <f>IF(B15&gt;=0,"Under budget","Over budget")</f>
        <v>Under budget</v>
      </c>
    </row>
    <row r="16" spans="1:6" x14ac:dyDescent="0.2">
      <c r="A16" t="s">
        <v>171</v>
      </c>
      <c r="B16" s="17">
        <f>SUM(Events!M2:M9)</f>
        <v>3600</v>
      </c>
    </row>
    <row r="17" spans="1:6" x14ac:dyDescent="0.2">
      <c r="A17" t="s">
        <v>172</v>
      </c>
      <c r="B17" s="17">
        <f>SUM(Events!O2:O9)</f>
        <v>22200</v>
      </c>
    </row>
    <row r="18" spans="1:6" x14ac:dyDescent="0.2">
      <c r="A18" t="s">
        <v>173</v>
      </c>
      <c r="B18" s="17">
        <f>B16+B17-B14</f>
        <v>19780</v>
      </c>
    </row>
    <row r="19" spans="1:6" x14ac:dyDescent="0.2">
      <c r="B19" s="15"/>
    </row>
    <row r="20" spans="1:6" ht="16" x14ac:dyDescent="0.2">
      <c r="A20" s="2" t="s">
        <v>174</v>
      </c>
      <c r="B20" s="16"/>
      <c r="C20" s="13"/>
      <c r="D20" s="13"/>
      <c r="E20" s="13"/>
      <c r="F20" s="13"/>
    </row>
    <row r="21" spans="1:6" x14ac:dyDescent="0.2">
      <c r="A21" t="s">
        <v>175</v>
      </c>
      <c r="B21" s="14">
        <f>COUNTIF(Partners!E2:E9,"Active")</f>
        <v>4</v>
      </c>
    </row>
    <row r="22" spans="1:6" x14ac:dyDescent="0.2">
      <c r="A22" t="s">
        <v>176</v>
      </c>
      <c r="B22" s="17">
        <f>SUMIFS(Partners!H2:H9,Partners!E2:E9,"Active")+SUMIFS(Partners!H2:H9,Partners!E2:E9,"Renewed")</f>
        <v>19500</v>
      </c>
    </row>
    <row r="23" spans="1:6" x14ac:dyDescent="0.2">
      <c r="A23" t="s">
        <v>177</v>
      </c>
      <c r="B23" s="18">
        <f>IFERROR(ROUND(AVERAGEIF(Partners!E2:E9,"Active",Partners!R2:R9),0),0)</f>
        <v>58</v>
      </c>
    </row>
    <row r="24" spans="1:6" x14ac:dyDescent="0.2">
      <c r="A24" t="s">
        <v>178</v>
      </c>
      <c r="B24" s="14">
        <f ca="1">COUNTIFS(Partners!K2:K9,"&gt;="&amp;0,Partners!K2:K9,"&lt;="&amp;60)</f>
        <v>0</v>
      </c>
    </row>
    <row r="25" spans="1:6" x14ac:dyDescent="0.2">
      <c r="A25" t="s">
        <v>179</v>
      </c>
      <c r="B25" s="14">
        <f ca="1">COUNTIFS(Partners!K2:K9,"&lt;"&amp;0,Partners!E2:E9,"&lt;&gt;Renewed",Partners!E2:E9,"&lt;&gt;Lapsed")</f>
        <v>1</v>
      </c>
    </row>
    <row r="26" spans="1:6" x14ac:dyDescent="0.2">
      <c r="A26" t="s">
        <v>180</v>
      </c>
      <c r="B26">
        <f>COUNTIF(Partners!E2:E9,"Lapsed")</f>
        <v>1</v>
      </c>
    </row>
    <row r="28" spans="1:6" x14ac:dyDescent="0.2">
      <c r="A28" s="26" t="s">
        <v>181</v>
      </c>
      <c r="B28" s="26" t="s">
        <v>182</v>
      </c>
      <c r="C28" s="26" t="s">
        <v>183</v>
      </c>
      <c r="D28" s="26" t="s">
        <v>184</v>
      </c>
      <c r="E28" s="26" t="s">
        <v>185</v>
      </c>
      <c r="F28" s="26" t="s">
        <v>186</v>
      </c>
    </row>
    <row r="29" spans="1:6" x14ac:dyDescent="0.2">
      <c r="A29" t="s">
        <v>187</v>
      </c>
      <c r="B29" s="27">
        <f ca="1">COUNTIFS(Events!E2:E9,"&gt;="&amp;DATE(YEAR(TODAY()),1,1),Events!E2:E9,"&lt;"&amp;DATE(YEAR(TODAY()),4,1))</f>
        <v>1</v>
      </c>
      <c r="C29" s="27">
        <f>SUMPRODUCT((MONTH(Events!E2:E9)&gt;=1)*(MONTH(Events!E2:E9)&lt;=3)*(Events!L2:L9))</f>
        <v>11</v>
      </c>
      <c r="D29" s="28">
        <f>SUMPRODUCT((MONTH(Events!E2:E9)&gt;=1)*(MONTH(Events!E2:E9)&lt;=3)*(Events!H2:H9))</f>
        <v>350</v>
      </c>
      <c r="E29" s="28">
        <f>SUMPRODUCT((MONTH(Events!E2:E9)&gt;=1)*(MONTH(Events!E2:E9)&lt;=3)*(Events!M2:M9+Events!O2:O9))</f>
        <v>0</v>
      </c>
      <c r="F29" s="28">
        <f>E29-D29</f>
        <v>-350</v>
      </c>
    </row>
    <row r="30" spans="1:6" x14ac:dyDescent="0.2">
      <c r="A30" t="s">
        <v>188</v>
      </c>
      <c r="B30" s="27">
        <f ca="1">COUNTIFS(Events!E2:E9,"&gt;="&amp;DATE(YEAR(TODAY()),4,1),Events!E2:E9,"&lt;"&amp;DATE(YEAR(TODAY()),7,1))</f>
        <v>5</v>
      </c>
      <c r="C30" s="27">
        <f>SUMPRODUCT((MONTH(Events!E2:E9)&gt;=4)*(MONTH(Events!E2:E9)&lt;=6)*(Events!L2:L9))</f>
        <v>0</v>
      </c>
      <c r="D30" s="28">
        <f>SUMPRODUCT((MONTH(Events!E2:E9)&gt;=4)*(MONTH(Events!E2:E9)&lt;=6)*(Events!H2:H9))</f>
        <v>13500</v>
      </c>
      <c r="E30" s="28">
        <f>SUMPRODUCT((MONTH(Events!E2:E9)&gt;=4)*(MONTH(Events!E2:E9)&lt;=6)*(Events!M2:M9+Events!O2:O9))</f>
        <v>17800</v>
      </c>
      <c r="F30" s="28">
        <f>E30-D30</f>
        <v>4300</v>
      </c>
    </row>
    <row r="31" spans="1:6" x14ac:dyDescent="0.2">
      <c r="A31" t="s">
        <v>189</v>
      </c>
      <c r="B31" s="27">
        <f ca="1">COUNTIFS(Events!E2:E9,"&gt;="&amp;DATE(YEAR(TODAY()),7,1),Events!E2:E9,"&lt;"&amp;DATE(YEAR(TODAY()),10,1))</f>
        <v>1</v>
      </c>
      <c r="C31" s="27">
        <f>SUMPRODUCT((MONTH(Events!E2:E9)&gt;=7)*(MONTH(Events!E2:E9)&lt;=9)*(Events!L2:L9))</f>
        <v>0</v>
      </c>
      <c r="D31" s="28">
        <f>SUMPRODUCT((MONTH(Events!E2:E9)&gt;=7)*(MONTH(Events!E2:E9)&lt;=9)*(Events!H2:H9))</f>
        <v>12000</v>
      </c>
      <c r="E31" s="28">
        <f>SUMPRODUCT((MONTH(Events!E2:E9)&gt;=7)*(MONTH(Events!E2:E9)&lt;=9)*(Events!M2:M9+Events!O2:O9))</f>
        <v>6000</v>
      </c>
      <c r="F31" s="28">
        <f>E31-D31</f>
        <v>-6000</v>
      </c>
    </row>
    <row r="32" spans="1:6" x14ac:dyDescent="0.2">
      <c r="A32" t="s">
        <v>190</v>
      </c>
      <c r="B32" s="27">
        <f ca="1">COUNTIFS(Events!E2:E9,"&gt;="&amp;DATE(YEAR(TODAY()),10,1),Events!E2:E9,"&lt;"&amp;DATE(YEAR(TODAY()),13,1))</f>
        <v>1</v>
      </c>
      <c r="C32" s="27">
        <f>SUMPRODUCT((MONTH(Events!E2:E9)&gt;=10)*(MONTH(Events!E2:E9)&lt;=12)*(Events!L2:L9))</f>
        <v>0</v>
      </c>
      <c r="D32" s="28">
        <f>SUMPRODUCT((MONTH(Events!E2:E9)&gt;=10)*(MONTH(Events!E2:E9)&lt;=12)*(Events!H2:H9))</f>
        <v>1500</v>
      </c>
      <c r="E32" s="28">
        <f>SUMPRODUCT((MONTH(Events!E2:E9)&gt;=10)*(MONTH(Events!E2:E9)&lt;=12)*(Events!M2:M9+Events!O2:O9))</f>
        <v>2000</v>
      </c>
      <c r="F32" s="28">
        <f>E32-D32</f>
        <v>500</v>
      </c>
    </row>
    <row r="34" spans="1:1" x14ac:dyDescent="0.2">
      <c r="A34" s="25" t="s">
        <v>191</v>
      </c>
    </row>
    <row r="35" spans="1:1" x14ac:dyDescent="0.2">
      <c r="A35" t="s">
        <v>192</v>
      </c>
    </row>
    <row r="37" spans="1:1" x14ac:dyDescent="0.2">
      <c r="A37" s="25" t="s">
        <v>193</v>
      </c>
    </row>
    <row r="38" spans="1:1" x14ac:dyDescent="0.2">
      <c r="A38" t="s">
        <v>194</v>
      </c>
    </row>
    <row r="39" spans="1:1" x14ac:dyDescent="0.2">
      <c r="A39" t="s">
        <v>195</v>
      </c>
    </row>
    <row r="40" spans="1:1" x14ac:dyDescent="0.2">
      <c r="A40" t="s">
        <v>196</v>
      </c>
    </row>
  </sheetData>
  <mergeCells count="1">
    <mergeCell ref="A1:F1"/>
  </mergeCells>
  <conditionalFormatting sqref="D29:F32">
    <cfRule type="cellIs" dxfId="0" priority="1" operator="less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Partners</vt:lpstr>
      <vt:lpstr>Events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Heath Johnson</cp:lastModifiedBy>
  <dcterms:created xsi:type="dcterms:W3CDTF">2026-04-23T14:37:10Z</dcterms:created>
  <dcterms:modified xsi:type="dcterms:W3CDTF">2026-04-23T15:09:50Z</dcterms:modified>
</cp:coreProperties>
</file>